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poste\БП 2017 - 2021 с петрич от 2020\BP 2017-2021\"/>
    </mc:Choice>
  </mc:AlternateContent>
  <bookViews>
    <workbookView xWindow="0" yWindow="0" windowWidth="19200" windowHeight="10995" tabRatio="883" firstSheet="16" activeTab="23"/>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s>
  <externalReferences>
    <externalReference r:id="rId26"/>
    <externalReference r:id="rId27"/>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ОПП'!$A$1:$H$62</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52511"/>
</workbook>
</file>

<file path=xl/calcChain.xml><?xml version="1.0" encoding="utf-8"?>
<calcChain xmlns="http://schemas.openxmlformats.org/spreadsheetml/2006/main">
  <c r="G34" i="39" l="1"/>
  <c r="G9" i="39" l="1"/>
  <c r="B42" i="48" l="1"/>
  <c r="I51" i="39" l="1"/>
  <c r="H51" i="39"/>
  <c r="J24" i="65" l="1"/>
  <c r="I24" i="65"/>
  <c r="G24" i="65"/>
  <c r="K25" i="41" l="1"/>
  <c r="J25" i="41"/>
  <c r="J21" i="41" l="1"/>
  <c r="K39" i="41" l="1"/>
  <c r="J39" i="41"/>
  <c r="K38" i="41"/>
  <c r="J38" i="41"/>
  <c r="K37" i="41"/>
  <c r="J37" i="41"/>
  <c r="K24" i="41"/>
  <c r="J24" i="41"/>
  <c r="K21" i="41"/>
  <c r="I14" i="41"/>
  <c r="I35" i="39" l="1"/>
  <c r="H35" i="39"/>
  <c r="G35" i="39"/>
  <c r="I9" i="39"/>
  <c r="H9" i="39"/>
  <c r="H34" i="39"/>
  <c r="C64" i="7" l="1"/>
  <c r="J64" i="7"/>
  <c r="C65" i="7"/>
  <c r="C66" i="7"/>
  <c r="J65" i="7"/>
  <c r="J66" i="7"/>
  <c r="W23" i="7" l="1"/>
  <c r="V23" i="7"/>
  <c r="U23" i="7"/>
  <c r="T23" i="7"/>
  <c r="S23" i="7"/>
  <c r="R23" i="7"/>
  <c r="Q23" i="7"/>
  <c r="P23" i="7"/>
  <c r="O23" i="7"/>
  <c r="N23" i="7"/>
  <c r="M23" i="7"/>
  <c r="L23" i="7"/>
  <c r="K23" i="7"/>
  <c r="J23" i="7"/>
  <c r="I23" i="7"/>
  <c r="H23" i="7"/>
  <c r="G23" i="7"/>
  <c r="F23" i="7"/>
  <c r="E23" i="7"/>
  <c r="D23" i="7"/>
  <c r="C23" i="7"/>
  <c r="J20" i="58" l="1"/>
  <c r="I20" i="58"/>
  <c r="H20" i="58"/>
  <c r="G20" i="58"/>
  <c r="F20" i="58"/>
  <c r="E20" i="58"/>
  <c r="D20" i="58"/>
  <c r="J15" i="58"/>
  <c r="I15" i="58"/>
  <c r="H15" i="58"/>
  <c r="G15" i="58"/>
  <c r="F15" i="58"/>
  <c r="E15" i="58"/>
  <c r="D15" i="58"/>
  <c r="M6" i="2" l="1"/>
  <c r="R30" i="53"/>
  <c r="Q30" i="53"/>
  <c r="W30" i="53" s="1"/>
  <c r="K30" i="53"/>
  <c r="J30" i="53"/>
  <c r="O30" i="53" s="1"/>
  <c r="D30" i="53"/>
  <c r="C30" i="53"/>
  <c r="G30" i="53" s="1"/>
  <c r="L30" i="53" l="1"/>
  <c r="T30" i="53"/>
  <c r="H30" i="53"/>
  <c r="E30" i="53"/>
  <c r="F30" i="53"/>
  <c r="I30" i="53"/>
  <c r="P30" i="53"/>
  <c r="V30" i="53"/>
  <c r="M30" i="53"/>
  <c r="U30" i="53"/>
  <c r="N30" i="53"/>
  <c r="S30" i="53"/>
  <c r="F34" i="62" l="1"/>
  <c r="Z34" i="62"/>
  <c r="Z83" i="62"/>
  <c r="S83" i="62"/>
  <c r="L83" i="62"/>
  <c r="E83" i="62"/>
  <c r="K34" i="62"/>
  <c r="J34" i="62"/>
  <c r="I34" i="62"/>
  <c r="H34" i="62"/>
  <c r="G34" i="62"/>
  <c r="E34" i="62"/>
  <c r="Y34" i="62"/>
  <c r="X34" i="62"/>
  <c r="W34" i="62"/>
  <c r="V34" i="62"/>
  <c r="U34" i="62"/>
  <c r="T34" i="62"/>
  <c r="S34" i="62"/>
  <c r="R34" i="62"/>
  <c r="Q34" i="62"/>
  <c r="P34" i="62"/>
  <c r="O34" i="62"/>
  <c r="N34" i="62"/>
  <c r="M34" i="62"/>
  <c r="L34" i="62"/>
  <c r="Z91" i="51"/>
  <c r="S91" i="51"/>
  <c r="L91" i="51"/>
  <c r="E91" i="51"/>
  <c r="AF42" i="51"/>
  <c r="AE42" i="51"/>
  <c r="AD42" i="51"/>
  <c r="AC42" i="51"/>
  <c r="AB42" i="51"/>
  <c r="AA42" i="51"/>
  <c r="Z42" i="51"/>
  <c r="Y42" i="51"/>
  <c r="X42" i="51"/>
  <c r="W42" i="51"/>
  <c r="V42" i="51"/>
  <c r="U42" i="51"/>
  <c r="T42" i="51"/>
  <c r="S42" i="51"/>
  <c r="R42" i="51"/>
  <c r="Q42" i="51"/>
  <c r="P42" i="51"/>
  <c r="O42" i="51"/>
  <c r="N42" i="51"/>
  <c r="M42" i="51"/>
  <c r="L42" i="51"/>
  <c r="K42" i="51"/>
  <c r="J42" i="51"/>
  <c r="I42" i="51"/>
  <c r="H42" i="51"/>
  <c r="G42" i="51"/>
  <c r="F42" i="51"/>
  <c r="E42" i="51"/>
  <c r="T193" i="50"/>
  <c r="U193" i="50" s="1"/>
  <c r="V193" i="50" s="1"/>
  <c r="W193" i="50" s="1"/>
  <c r="X193" i="50" s="1"/>
  <c r="Y193" i="50" s="1"/>
  <c r="T194" i="50"/>
  <c r="U194" i="50" s="1"/>
  <c r="V194" i="50" s="1"/>
  <c r="W194" i="50" s="1"/>
  <c r="X194" i="50" s="1"/>
  <c r="Y194" i="50" s="1"/>
  <c r="T195" i="50"/>
  <c r="U195" i="50" s="1"/>
  <c r="V195" i="50" s="1"/>
  <c r="W195" i="50" s="1"/>
  <c r="X195" i="50" s="1"/>
  <c r="Y195" i="50" s="1"/>
  <c r="T196" i="50"/>
  <c r="U196" i="50" s="1"/>
  <c r="V196" i="50" s="1"/>
  <c r="W196" i="50" s="1"/>
  <c r="X196" i="50" s="1"/>
  <c r="Y196" i="50" s="1"/>
  <c r="T197" i="50"/>
  <c r="U197" i="50" s="1"/>
  <c r="V197" i="50" s="1"/>
  <c r="W197" i="50" s="1"/>
  <c r="X197" i="50" s="1"/>
  <c r="Y197" i="50" s="1"/>
  <c r="T198" i="50"/>
  <c r="U198" i="50" s="1"/>
  <c r="V198" i="50" s="1"/>
  <c r="W198" i="50" s="1"/>
  <c r="X198" i="50" s="1"/>
  <c r="Y198" i="50" s="1"/>
  <c r="T199" i="50"/>
  <c r="U199" i="50" s="1"/>
  <c r="V199" i="50" s="1"/>
  <c r="W199" i="50" s="1"/>
  <c r="X199" i="50" s="1"/>
  <c r="Y199" i="50" s="1"/>
  <c r="T200" i="50"/>
  <c r="U200" i="50" s="1"/>
  <c r="V200" i="50" s="1"/>
  <c r="W200" i="50" s="1"/>
  <c r="X200" i="50" s="1"/>
  <c r="Y200" i="50" s="1"/>
  <c r="T201" i="50"/>
  <c r="U201" i="50" s="1"/>
  <c r="V201" i="50" s="1"/>
  <c r="W201" i="50" s="1"/>
  <c r="X201" i="50" s="1"/>
  <c r="Y201" i="50" s="1"/>
  <c r="T202" i="50"/>
  <c r="U202" i="50" s="1"/>
  <c r="V202" i="50" s="1"/>
  <c r="W202" i="50" s="1"/>
  <c r="X202" i="50" s="1"/>
  <c r="Y202" i="50" s="1"/>
  <c r="T203" i="50"/>
  <c r="U203" i="50" s="1"/>
  <c r="V203" i="50" s="1"/>
  <c r="W203" i="50" s="1"/>
  <c r="X203" i="50" s="1"/>
  <c r="Y203" i="50" s="1"/>
  <c r="T204" i="50"/>
  <c r="U204" i="50" s="1"/>
  <c r="V204" i="50" s="1"/>
  <c r="W204" i="50" s="1"/>
  <c r="X204" i="50" s="1"/>
  <c r="Y204" i="50" s="1"/>
  <c r="T205" i="50"/>
  <c r="U205" i="50" s="1"/>
  <c r="V205" i="50" s="1"/>
  <c r="W205" i="50" s="1"/>
  <c r="X205" i="50" s="1"/>
  <c r="Y205" i="50" s="1"/>
  <c r="T206" i="50"/>
  <c r="U206" i="50" s="1"/>
  <c r="V206" i="50" s="1"/>
  <c r="W206" i="50" s="1"/>
  <c r="X206" i="50" s="1"/>
  <c r="Y206" i="50" s="1"/>
  <c r="T207" i="50"/>
  <c r="U207" i="50" s="1"/>
  <c r="V207" i="50" s="1"/>
  <c r="W207" i="50" s="1"/>
  <c r="X207" i="50" s="1"/>
  <c r="Y207" i="50" s="1"/>
  <c r="T208" i="50"/>
  <c r="U208" i="50" s="1"/>
  <c r="V208" i="50" s="1"/>
  <c r="W208" i="50" s="1"/>
  <c r="X208" i="50" s="1"/>
  <c r="Y208" i="50" s="1"/>
  <c r="T209" i="50"/>
  <c r="U209" i="50" s="1"/>
  <c r="V209" i="50" s="1"/>
  <c r="W209" i="50" s="1"/>
  <c r="X209" i="50" s="1"/>
  <c r="Y209" i="50" s="1"/>
  <c r="T210" i="50"/>
  <c r="U210" i="50" s="1"/>
  <c r="V210" i="50" s="1"/>
  <c r="W210" i="50" s="1"/>
  <c r="X210" i="50" s="1"/>
  <c r="Y210" i="50" s="1"/>
  <c r="T211" i="50"/>
  <c r="U211" i="50" s="1"/>
  <c r="V211" i="50" s="1"/>
  <c r="W211" i="50" s="1"/>
  <c r="X211" i="50" s="1"/>
  <c r="Y211" i="50" s="1"/>
  <c r="T212" i="50"/>
  <c r="U212" i="50" s="1"/>
  <c r="V212" i="50" s="1"/>
  <c r="W212" i="50" s="1"/>
  <c r="X212" i="50" s="1"/>
  <c r="Y212" i="50" s="1"/>
  <c r="T192" i="50"/>
  <c r="U192" i="50" s="1"/>
  <c r="V192" i="50" s="1"/>
  <c r="W192" i="50" s="1"/>
  <c r="X192" i="50" s="1"/>
  <c r="Y192" i="50" s="1"/>
  <c r="M193" i="50"/>
  <c r="N193" i="50" s="1"/>
  <c r="O193" i="50" s="1"/>
  <c r="P193" i="50" s="1"/>
  <c r="Q193" i="50" s="1"/>
  <c r="R193" i="50" s="1"/>
  <c r="M194" i="50"/>
  <c r="N194" i="50" s="1"/>
  <c r="O194" i="50" s="1"/>
  <c r="P194" i="50" s="1"/>
  <c r="Q194" i="50" s="1"/>
  <c r="R194" i="50" s="1"/>
  <c r="M195" i="50"/>
  <c r="N195" i="50" s="1"/>
  <c r="O195" i="50" s="1"/>
  <c r="P195" i="50" s="1"/>
  <c r="Q195" i="50" s="1"/>
  <c r="R195" i="50" s="1"/>
  <c r="M196" i="50"/>
  <c r="N196" i="50" s="1"/>
  <c r="O196" i="50" s="1"/>
  <c r="P196" i="50" s="1"/>
  <c r="Q196" i="50" s="1"/>
  <c r="R196" i="50" s="1"/>
  <c r="M197" i="50"/>
  <c r="N197" i="50" s="1"/>
  <c r="O197" i="50" s="1"/>
  <c r="P197" i="50" s="1"/>
  <c r="Q197" i="50" s="1"/>
  <c r="R197" i="50" s="1"/>
  <c r="M198" i="50"/>
  <c r="N198" i="50" s="1"/>
  <c r="O198" i="50" s="1"/>
  <c r="P198" i="50" s="1"/>
  <c r="Q198" i="50" s="1"/>
  <c r="R198" i="50" s="1"/>
  <c r="M199" i="50"/>
  <c r="N199" i="50" s="1"/>
  <c r="O199" i="50" s="1"/>
  <c r="P199" i="50" s="1"/>
  <c r="Q199" i="50" s="1"/>
  <c r="R199" i="50" s="1"/>
  <c r="M200" i="50"/>
  <c r="N200" i="50" s="1"/>
  <c r="O200" i="50" s="1"/>
  <c r="P200" i="50" s="1"/>
  <c r="Q200" i="50" s="1"/>
  <c r="R200" i="50" s="1"/>
  <c r="M201" i="50"/>
  <c r="N201" i="50" s="1"/>
  <c r="O201" i="50" s="1"/>
  <c r="P201" i="50" s="1"/>
  <c r="Q201" i="50" s="1"/>
  <c r="R201" i="50" s="1"/>
  <c r="M202" i="50"/>
  <c r="N202" i="50" s="1"/>
  <c r="O202" i="50" s="1"/>
  <c r="P202" i="50" s="1"/>
  <c r="Q202" i="50" s="1"/>
  <c r="R202" i="50" s="1"/>
  <c r="M203" i="50"/>
  <c r="N203" i="50" s="1"/>
  <c r="O203" i="50" s="1"/>
  <c r="P203" i="50" s="1"/>
  <c r="Q203" i="50" s="1"/>
  <c r="R203" i="50" s="1"/>
  <c r="M204" i="50"/>
  <c r="N204" i="50" s="1"/>
  <c r="O204" i="50" s="1"/>
  <c r="P204" i="50" s="1"/>
  <c r="Q204" i="50" s="1"/>
  <c r="R204" i="50" s="1"/>
  <c r="M205" i="50"/>
  <c r="N205" i="50" s="1"/>
  <c r="O205" i="50" s="1"/>
  <c r="P205" i="50" s="1"/>
  <c r="Q205" i="50" s="1"/>
  <c r="R205" i="50" s="1"/>
  <c r="M206" i="50"/>
  <c r="N206" i="50" s="1"/>
  <c r="O206" i="50" s="1"/>
  <c r="P206" i="50" s="1"/>
  <c r="Q206" i="50" s="1"/>
  <c r="R206" i="50" s="1"/>
  <c r="M207" i="50"/>
  <c r="N207" i="50" s="1"/>
  <c r="O207" i="50" s="1"/>
  <c r="P207" i="50" s="1"/>
  <c r="Q207" i="50" s="1"/>
  <c r="R207" i="50" s="1"/>
  <c r="M208" i="50"/>
  <c r="N208" i="50" s="1"/>
  <c r="O208" i="50" s="1"/>
  <c r="P208" i="50" s="1"/>
  <c r="Q208" i="50" s="1"/>
  <c r="R208" i="50" s="1"/>
  <c r="M209" i="50"/>
  <c r="N209" i="50" s="1"/>
  <c r="O209" i="50" s="1"/>
  <c r="P209" i="50" s="1"/>
  <c r="Q209" i="50" s="1"/>
  <c r="R209" i="50" s="1"/>
  <c r="M210" i="50"/>
  <c r="N210" i="50" s="1"/>
  <c r="O210" i="50" s="1"/>
  <c r="P210" i="50" s="1"/>
  <c r="Q210" i="50" s="1"/>
  <c r="R210" i="50" s="1"/>
  <c r="M211" i="50"/>
  <c r="N211" i="50" s="1"/>
  <c r="O211" i="50" s="1"/>
  <c r="P211" i="50" s="1"/>
  <c r="Q211" i="50" s="1"/>
  <c r="R211" i="50" s="1"/>
  <c r="M212" i="50"/>
  <c r="N212" i="50" s="1"/>
  <c r="O212" i="50" s="1"/>
  <c r="P212" i="50" s="1"/>
  <c r="Q212" i="50" s="1"/>
  <c r="R212" i="50" s="1"/>
  <c r="M192" i="50"/>
  <c r="N192" i="50" s="1"/>
  <c r="O192" i="50" s="1"/>
  <c r="P192" i="50" s="1"/>
  <c r="Q192" i="50" s="1"/>
  <c r="R192" i="50" s="1"/>
  <c r="F193" i="50"/>
  <c r="G193" i="50" s="1"/>
  <c r="H193" i="50" s="1"/>
  <c r="I193" i="50" s="1"/>
  <c r="J193" i="50" s="1"/>
  <c r="K193" i="50" s="1"/>
  <c r="F194" i="50"/>
  <c r="G194" i="50" s="1"/>
  <c r="H194" i="50" s="1"/>
  <c r="I194" i="50" s="1"/>
  <c r="J194" i="50" s="1"/>
  <c r="K194" i="50" s="1"/>
  <c r="F195" i="50"/>
  <c r="G195" i="50" s="1"/>
  <c r="H195" i="50" s="1"/>
  <c r="I195" i="50" s="1"/>
  <c r="J195" i="50" s="1"/>
  <c r="K195" i="50" s="1"/>
  <c r="F196" i="50"/>
  <c r="G196" i="50" s="1"/>
  <c r="H196" i="50" s="1"/>
  <c r="I196" i="50" s="1"/>
  <c r="J196" i="50" s="1"/>
  <c r="K196" i="50" s="1"/>
  <c r="F197" i="50"/>
  <c r="G197" i="50" s="1"/>
  <c r="H197" i="50" s="1"/>
  <c r="I197" i="50" s="1"/>
  <c r="J197" i="50" s="1"/>
  <c r="K197" i="50" s="1"/>
  <c r="F198" i="50"/>
  <c r="G198" i="50" s="1"/>
  <c r="H198" i="50" s="1"/>
  <c r="I198" i="50" s="1"/>
  <c r="J198" i="50" s="1"/>
  <c r="K198" i="50" s="1"/>
  <c r="F199" i="50"/>
  <c r="G199" i="50" s="1"/>
  <c r="H199" i="50" s="1"/>
  <c r="I199" i="50" s="1"/>
  <c r="J199" i="50" s="1"/>
  <c r="K199" i="50" s="1"/>
  <c r="F200" i="50"/>
  <c r="G200" i="50" s="1"/>
  <c r="H200" i="50" s="1"/>
  <c r="I200" i="50" s="1"/>
  <c r="J200" i="50" s="1"/>
  <c r="K200" i="50" s="1"/>
  <c r="F201" i="50"/>
  <c r="G201" i="50" s="1"/>
  <c r="H201" i="50" s="1"/>
  <c r="I201" i="50" s="1"/>
  <c r="J201" i="50" s="1"/>
  <c r="K201" i="50" s="1"/>
  <c r="F202" i="50"/>
  <c r="G202" i="50" s="1"/>
  <c r="H202" i="50" s="1"/>
  <c r="I202" i="50" s="1"/>
  <c r="J202" i="50" s="1"/>
  <c r="K202" i="50" s="1"/>
  <c r="F203" i="50"/>
  <c r="G203" i="50" s="1"/>
  <c r="H203" i="50" s="1"/>
  <c r="I203" i="50" s="1"/>
  <c r="J203" i="50" s="1"/>
  <c r="K203" i="50" s="1"/>
  <c r="F204" i="50"/>
  <c r="G204" i="50" s="1"/>
  <c r="H204" i="50" s="1"/>
  <c r="I204" i="50" s="1"/>
  <c r="J204" i="50" s="1"/>
  <c r="K204" i="50" s="1"/>
  <c r="F205" i="50"/>
  <c r="G205" i="50" s="1"/>
  <c r="H205" i="50" s="1"/>
  <c r="I205" i="50" s="1"/>
  <c r="J205" i="50" s="1"/>
  <c r="K205" i="50" s="1"/>
  <c r="F206" i="50"/>
  <c r="G206" i="50" s="1"/>
  <c r="H206" i="50" s="1"/>
  <c r="I206" i="50" s="1"/>
  <c r="J206" i="50" s="1"/>
  <c r="K206" i="50" s="1"/>
  <c r="F207" i="50"/>
  <c r="G207" i="50" s="1"/>
  <c r="H207" i="50" s="1"/>
  <c r="I207" i="50" s="1"/>
  <c r="J207" i="50" s="1"/>
  <c r="K207" i="50" s="1"/>
  <c r="F208" i="50"/>
  <c r="G208" i="50" s="1"/>
  <c r="H208" i="50" s="1"/>
  <c r="I208" i="50" s="1"/>
  <c r="J208" i="50" s="1"/>
  <c r="K208" i="50" s="1"/>
  <c r="F209" i="50"/>
  <c r="G209" i="50" s="1"/>
  <c r="H209" i="50" s="1"/>
  <c r="I209" i="50" s="1"/>
  <c r="J209" i="50" s="1"/>
  <c r="K209" i="50" s="1"/>
  <c r="F210" i="50"/>
  <c r="G210" i="50" s="1"/>
  <c r="H210" i="50" s="1"/>
  <c r="I210" i="50" s="1"/>
  <c r="J210" i="50" s="1"/>
  <c r="K210" i="50" s="1"/>
  <c r="F211" i="50"/>
  <c r="G211" i="50" s="1"/>
  <c r="H211" i="50" s="1"/>
  <c r="I211" i="50" s="1"/>
  <c r="J211" i="50" s="1"/>
  <c r="K211" i="50" s="1"/>
  <c r="F212" i="50"/>
  <c r="G212" i="50" s="1"/>
  <c r="H212" i="50" s="1"/>
  <c r="I212" i="50" s="1"/>
  <c r="J212" i="50" s="1"/>
  <c r="K212" i="50" s="1"/>
  <c r="F192" i="50"/>
  <c r="G192" i="50" s="1"/>
  <c r="H192" i="50" s="1"/>
  <c r="I192" i="50" s="1"/>
  <c r="J192" i="50" s="1"/>
  <c r="K192" i="50" s="1"/>
  <c r="T156" i="62"/>
  <c r="U156" i="62" s="1"/>
  <c r="V156" i="62" s="1"/>
  <c r="W156" i="62" s="1"/>
  <c r="X156" i="62" s="1"/>
  <c r="Y156" i="62" s="1"/>
  <c r="T157" i="62"/>
  <c r="U157" i="62" s="1"/>
  <c r="V157" i="62" s="1"/>
  <c r="W157" i="62" s="1"/>
  <c r="X157" i="62" s="1"/>
  <c r="Y157" i="62" s="1"/>
  <c r="T158" i="62"/>
  <c r="U158" i="62" s="1"/>
  <c r="V158" i="62" s="1"/>
  <c r="W158" i="62" s="1"/>
  <c r="X158" i="62" s="1"/>
  <c r="Y158" i="62" s="1"/>
  <c r="T159" i="62"/>
  <c r="U159" i="62" s="1"/>
  <c r="V159" i="62" s="1"/>
  <c r="W159" i="62" s="1"/>
  <c r="X159" i="62" s="1"/>
  <c r="Y159" i="62" s="1"/>
  <c r="T160" i="62"/>
  <c r="U160" i="62" s="1"/>
  <c r="V160" i="62" s="1"/>
  <c r="W160" i="62" s="1"/>
  <c r="X160" i="62" s="1"/>
  <c r="Y160" i="62" s="1"/>
  <c r="T161" i="62"/>
  <c r="U161" i="62" s="1"/>
  <c r="V161" i="62" s="1"/>
  <c r="W161" i="62" s="1"/>
  <c r="X161" i="62" s="1"/>
  <c r="Y161" i="62" s="1"/>
  <c r="T162" i="62"/>
  <c r="U162" i="62" s="1"/>
  <c r="V162" i="62" s="1"/>
  <c r="W162" i="62" s="1"/>
  <c r="X162" i="62" s="1"/>
  <c r="Y162" i="62" s="1"/>
  <c r="T163" i="62"/>
  <c r="U163" i="62" s="1"/>
  <c r="V163" i="62" s="1"/>
  <c r="W163" i="62" s="1"/>
  <c r="X163" i="62" s="1"/>
  <c r="Y163" i="62" s="1"/>
  <c r="T164" i="62"/>
  <c r="U164" i="62" s="1"/>
  <c r="V164" i="62" s="1"/>
  <c r="W164" i="62" s="1"/>
  <c r="X164" i="62" s="1"/>
  <c r="Y164" i="62" s="1"/>
  <c r="T165" i="62"/>
  <c r="U165" i="62" s="1"/>
  <c r="V165" i="62" s="1"/>
  <c r="W165" i="62" s="1"/>
  <c r="X165" i="62" s="1"/>
  <c r="Y165" i="62" s="1"/>
  <c r="T166" i="62"/>
  <c r="U166" i="62" s="1"/>
  <c r="V166" i="62" s="1"/>
  <c r="W166" i="62" s="1"/>
  <c r="X166" i="62" s="1"/>
  <c r="Y166" i="62" s="1"/>
  <c r="T167" i="62"/>
  <c r="U167" i="62" s="1"/>
  <c r="V167" i="62" s="1"/>
  <c r="W167" i="62" s="1"/>
  <c r="X167" i="62" s="1"/>
  <c r="Y167" i="62" s="1"/>
  <c r="T168" i="62"/>
  <c r="U168" i="62" s="1"/>
  <c r="V168" i="62" s="1"/>
  <c r="W168" i="62" s="1"/>
  <c r="X168" i="62" s="1"/>
  <c r="Y168" i="62" s="1"/>
  <c r="T169" i="62"/>
  <c r="U169" i="62" s="1"/>
  <c r="V169" i="62" s="1"/>
  <c r="W169" i="62" s="1"/>
  <c r="X169" i="62" s="1"/>
  <c r="Y169" i="62" s="1"/>
  <c r="T170" i="62"/>
  <c r="U170" i="62" s="1"/>
  <c r="V170" i="62" s="1"/>
  <c r="W170" i="62" s="1"/>
  <c r="X170" i="62" s="1"/>
  <c r="Y170" i="62" s="1"/>
  <c r="T171" i="62"/>
  <c r="U171" i="62" s="1"/>
  <c r="V171" i="62" s="1"/>
  <c r="W171" i="62" s="1"/>
  <c r="X171" i="62" s="1"/>
  <c r="Y171" i="62" s="1"/>
  <c r="T172" i="62"/>
  <c r="U172" i="62" s="1"/>
  <c r="V172" i="62" s="1"/>
  <c r="W172" i="62" s="1"/>
  <c r="X172" i="62" s="1"/>
  <c r="Y172" i="62" s="1"/>
  <c r="T173" i="62"/>
  <c r="U173" i="62" s="1"/>
  <c r="V173" i="62" s="1"/>
  <c r="W173" i="62" s="1"/>
  <c r="X173" i="62" s="1"/>
  <c r="Y173" i="62" s="1"/>
  <c r="T174" i="62"/>
  <c r="U174" i="62" s="1"/>
  <c r="V174" i="62" s="1"/>
  <c r="W174" i="62" s="1"/>
  <c r="X174" i="62" s="1"/>
  <c r="Y174" i="62" s="1"/>
  <c r="T175" i="62"/>
  <c r="U175" i="62" s="1"/>
  <c r="V175" i="62" s="1"/>
  <c r="W175" i="62" s="1"/>
  <c r="X175" i="62" s="1"/>
  <c r="Y175" i="62" s="1"/>
  <c r="T155" i="62"/>
  <c r="U155" i="62" s="1"/>
  <c r="V155" i="62" s="1"/>
  <c r="W155" i="62" s="1"/>
  <c r="X155" i="62" s="1"/>
  <c r="Y155" i="62" s="1"/>
  <c r="M156" i="62"/>
  <c r="N156" i="62" s="1"/>
  <c r="O156" i="62" s="1"/>
  <c r="P156" i="62" s="1"/>
  <c r="Q156" i="62" s="1"/>
  <c r="R156" i="62" s="1"/>
  <c r="M157" i="62"/>
  <c r="N157" i="62" s="1"/>
  <c r="O157" i="62" s="1"/>
  <c r="P157" i="62" s="1"/>
  <c r="Q157" i="62" s="1"/>
  <c r="R157" i="62" s="1"/>
  <c r="M158" i="62"/>
  <c r="N158" i="62" s="1"/>
  <c r="O158" i="62" s="1"/>
  <c r="P158" i="62" s="1"/>
  <c r="Q158" i="62" s="1"/>
  <c r="R158" i="62" s="1"/>
  <c r="M159" i="62"/>
  <c r="N159" i="62" s="1"/>
  <c r="O159" i="62" s="1"/>
  <c r="P159" i="62" s="1"/>
  <c r="Q159" i="62" s="1"/>
  <c r="R159" i="62" s="1"/>
  <c r="M160" i="62"/>
  <c r="N160" i="62" s="1"/>
  <c r="O160" i="62" s="1"/>
  <c r="P160" i="62" s="1"/>
  <c r="Q160" i="62" s="1"/>
  <c r="R160" i="62" s="1"/>
  <c r="M161" i="62"/>
  <c r="N161" i="62" s="1"/>
  <c r="O161" i="62" s="1"/>
  <c r="P161" i="62" s="1"/>
  <c r="Q161" i="62" s="1"/>
  <c r="R161" i="62" s="1"/>
  <c r="M162" i="62"/>
  <c r="N162" i="62" s="1"/>
  <c r="O162" i="62" s="1"/>
  <c r="P162" i="62" s="1"/>
  <c r="Q162" i="62" s="1"/>
  <c r="R162" i="62" s="1"/>
  <c r="M163" i="62"/>
  <c r="N163" i="62" s="1"/>
  <c r="O163" i="62" s="1"/>
  <c r="P163" i="62" s="1"/>
  <c r="Q163" i="62" s="1"/>
  <c r="R163" i="62" s="1"/>
  <c r="M164" i="62"/>
  <c r="N164" i="62" s="1"/>
  <c r="O164" i="62" s="1"/>
  <c r="P164" i="62" s="1"/>
  <c r="Q164" i="62" s="1"/>
  <c r="R164" i="62" s="1"/>
  <c r="M165" i="62"/>
  <c r="N165" i="62" s="1"/>
  <c r="O165" i="62" s="1"/>
  <c r="P165" i="62" s="1"/>
  <c r="Q165" i="62" s="1"/>
  <c r="R165" i="62" s="1"/>
  <c r="M166" i="62"/>
  <c r="N166" i="62" s="1"/>
  <c r="O166" i="62" s="1"/>
  <c r="P166" i="62" s="1"/>
  <c r="Q166" i="62" s="1"/>
  <c r="R166" i="62" s="1"/>
  <c r="M167" i="62"/>
  <c r="N167" i="62" s="1"/>
  <c r="O167" i="62" s="1"/>
  <c r="P167" i="62" s="1"/>
  <c r="Q167" i="62" s="1"/>
  <c r="R167" i="62" s="1"/>
  <c r="M168" i="62"/>
  <c r="N168" i="62" s="1"/>
  <c r="O168" i="62" s="1"/>
  <c r="P168" i="62" s="1"/>
  <c r="Q168" i="62" s="1"/>
  <c r="R168" i="62" s="1"/>
  <c r="M169" i="62"/>
  <c r="N169" i="62" s="1"/>
  <c r="O169" i="62" s="1"/>
  <c r="P169" i="62" s="1"/>
  <c r="Q169" i="62" s="1"/>
  <c r="R169" i="62" s="1"/>
  <c r="M170" i="62"/>
  <c r="N170" i="62" s="1"/>
  <c r="O170" i="62" s="1"/>
  <c r="P170" i="62" s="1"/>
  <c r="Q170" i="62" s="1"/>
  <c r="R170" i="62" s="1"/>
  <c r="M171" i="62"/>
  <c r="N171" i="62" s="1"/>
  <c r="O171" i="62" s="1"/>
  <c r="P171" i="62" s="1"/>
  <c r="Q171" i="62" s="1"/>
  <c r="R171" i="62" s="1"/>
  <c r="M172" i="62"/>
  <c r="N172" i="62" s="1"/>
  <c r="O172" i="62" s="1"/>
  <c r="P172" i="62" s="1"/>
  <c r="Q172" i="62" s="1"/>
  <c r="R172" i="62" s="1"/>
  <c r="M173" i="62"/>
  <c r="N173" i="62" s="1"/>
  <c r="O173" i="62" s="1"/>
  <c r="P173" i="62" s="1"/>
  <c r="Q173" i="62" s="1"/>
  <c r="R173" i="62" s="1"/>
  <c r="M174" i="62"/>
  <c r="N174" i="62" s="1"/>
  <c r="O174" i="62" s="1"/>
  <c r="P174" i="62" s="1"/>
  <c r="Q174" i="62" s="1"/>
  <c r="R174" i="62" s="1"/>
  <c r="M175" i="62"/>
  <c r="N175" i="62" s="1"/>
  <c r="O175" i="62" s="1"/>
  <c r="P175" i="62" s="1"/>
  <c r="Q175" i="62" s="1"/>
  <c r="R175" i="62" s="1"/>
  <c r="M155" i="62"/>
  <c r="N155" i="62" s="1"/>
  <c r="O155" i="62" s="1"/>
  <c r="P155" i="62" s="1"/>
  <c r="Q155" i="62" s="1"/>
  <c r="R155" i="62" s="1"/>
  <c r="F156" i="62"/>
  <c r="G156" i="62" s="1"/>
  <c r="H156" i="62" s="1"/>
  <c r="I156" i="62" s="1"/>
  <c r="J156" i="62" s="1"/>
  <c r="K156" i="62" s="1"/>
  <c r="F157" i="62"/>
  <c r="G157" i="62" s="1"/>
  <c r="H157" i="62" s="1"/>
  <c r="I157" i="62" s="1"/>
  <c r="J157" i="62" s="1"/>
  <c r="K157" i="62" s="1"/>
  <c r="F158" i="62"/>
  <c r="G158" i="62" s="1"/>
  <c r="H158" i="62" s="1"/>
  <c r="I158" i="62" s="1"/>
  <c r="J158" i="62" s="1"/>
  <c r="K158" i="62" s="1"/>
  <c r="F159" i="62"/>
  <c r="G159" i="62" s="1"/>
  <c r="H159" i="62" s="1"/>
  <c r="I159" i="62" s="1"/>
  <c r="J159" i="62" s="1"/>
  <c r="K159" i="62" s="1"/>
  <c r="F160" i="62"/>
  <c r="G160" i="62" s="1"/>
  <c r="H160" i="62" s="1"/>
  <c r="I160" i="62" s="1"/>
  <c r="J160" i="62" s="1"/>
  <c r="K160" i="62" s="1"/>
  <c r="F161" i="62"/>
  <c r="G161" i="62" s="1"/>
  <c r="H161" i="62" s="1"/>
  <c r="I161" i="62" s="1"/>
  <c r="J161" i="62" s="1"/>
  <c r="K161" i="62" s="1"/>
  <c r="F162" i="62"/>
  <c r="G162" i="62" s="1"/>
  <c r="H162" i="62" s="1"/>
  <c r="I162" i="62" s="1"/>
  <c r="J162" i="62" s="1"/>
  <c r="K162" i="62" s="1"/>
  <c r="F163" i="62"/>
  <c r="G163" i="62" s="1"/>
  <c r="H163" i="62" s="1"/>
  <c r="I163" i="62" s="1"/>
  <c r="J163" i="62" s="1"/>
  <c r="K163" i="62" s="1"/>
  <c r="F164" i="62"/>
  <c r="G164" i="62" s="1"/>
  <c r="H164" i="62" s="1"/>
  <c r="I164" i="62" s="1"/>
  <c r="J164" i="62" s="1"/>
  <c r="K164" i="62" s="1"/>
  <c r="F165" i="62"/>
  <c r="G165" i="62" s="1"/>
  <c r="H165" i="62" s="1"/>
  <c r="I165" i="62" s="1"/>
  <c r="J165" i="62" s="1"/>
  <c r="K165" i="62" s="1"/>
  <c r="F166" i="62"/>
  <c r="G166" i="62" s="1"/>
  <c r="H166" i="62" s="1"/>
  <c r="I166" i="62" s="1"/>
  <c r="J166" i="62" s="1"/>
  <c r="K166" i="62" s="1"/>
  <c r="F167" i="62"/>
  <c r="G167" i="62" s="1"/>
  <c r="H167" i="62" s="1"/>
  <c r="I167" i="62" s="1"/>
  <c r="J167" i="62" s="1"/>
  <c r="K167" i="62" s="1"/>
  <c r="F168" i="62"/>
  <c r="G168" i="62" s="1"/>
  <c r="H168" i="62" s="1"/>
  <c r="I168" i="62" s="1"/>
  <c r="J168" i="62" s="1"/>
  <c r="K168" i="62" s="1"/>
  <c r="F169" i="62"/>
  <c r="G169" i="62" s="1"/>
  <c r="H169" i="62" s="1"/>
  <c r="I169" i="62" s="1"/>
  <c r="J169" i="62" s="1"/>
  <c r="K169" i="62" s="1"/>
  <c r="F170" i="62"/>
  <c r="G170" i="62" s="1"/>
  <c r="H170" i="62" s="1"/>
  <c r="I170" i="62" s="1"/>
  <c r="J170" i="62" s="1"/>
  <c r="K170" i="62" s="1"/>
  <c r="F171" i="62"/>
  <c r="G171" i="62" s="1"/>
  <c r="H171" i="62" s="1"/>
  <c r="I171" i="62" s="1"/>
  <c r="J171" i="62" s="1"/>
  <c r="K171" i="62" s="1"/>
  <c r="F172" i="62"/>
  <c r="G172" i="62" s="1"/>
  <c r="H172" i="62" s="1"/>
  <c r="I172" i="62" s="1"/>
  <c r="J172" i="62" s="1"/>
  <c r="K172" i="62" s="1"/>
  <c r="F173" i="62"/>
  <c r="G173" i="62" s="1"/>
  <c r="H173" i="62" s="1"/>
  <c r="I173" i="62" s="1"/>
  <c r="J173" i="62" s="1"/>
  <c r="K173" i="62" s="1"/>
  <c r="F174" i="62"/>
  <c r="G174" i="62" s="1"/>
  <c r="H174" i="62" s="1"/>
  <c r="I174" i="62" s="1"/>
  <c r="J174" i="62" s="1"/>
  <c r="K174" i="62" s="1"/>
  <c r="F175" i="62"/>
  <c r="G175" i="62" s="1"/>
  <c r="H175" i="62" s="1"/>
  <c r="I175" i="62" s="1"/>
  <c r="J175" i="62" s="1"/>
  <c r="K175" i="62" s="1"/>
  <c r="F155" i="62"/>
  <c r="G155" i="62" s="1"/>
  <c r="H155" i="62" s="1"/>
  <c r="I155" i="62" s="1"/>
  <c r="J155" i="62" s="1"/>
  <c r="K155" i="62" s="1"/>
  <c r="AF132" i="62"/>
  <c r="AE132" i="62"/>
  <c r="AD132" i="62"/>
  <c r="AC132" i="62"/>
  <c r="AB132" i="62"/>
  <c r="AA132" i="62"/>
  <c r="Z132" i="62"/>
  <c r="Y132" i="62"/>
  <c r="X132" i="62"/>
  <c r="W132" i="62"/>
  <c r="V132" i="62"/>
  <c r="U132" i="62"/>
  <c r="T132" i="62"/>
  <c r="S132" i="62"/>
  <c r="R132" i="62"/>
  <c r="Q132" i="62"/>
  <c r="P132" i="62"/>
  <c r="O132" i="62"/>
  <c r="N132" i="62"/>
  <c r="M132" i="62"/>
  <c r="L132" i="62"/>
  <c r="K132" i="62"/>
  <c r="J132" i="62"/>
  <c r="I132" i="62"/>
  <c r="H132" i="62"/>
  <c r="G132" i="62"/>
  <c r="F132" i="62"/>
  <c r="E132" i="62"/>
  <c r="F92" i="62" l="1"/>
  <c r="G92" i="62" s="1"/>
  <c r="H92" i="62" s="1"/>
  <c r="T92" i="62"/>
  <c r="U92" i="62" s="1"/>
  <c r="V92" i="62" s="1"/>
  <c r="W92" i="62" s="1"/>
  <c r="X92" i="62" s="1"/>
  <c r="M92" i="62"/>
  <c r="N92" i="62" s="1"/>
  <c r="O92" i="62" s="1"/>
  <c r="Y92" i="62" l="1"/>
  <c r="P92" i="62"/>
  <c r="I92" i="62"/>
  <c r="Z12" i="62"/>
  <c r="Z15" i="62"/>
  <c r="Z22" i="62"/>
  <c r="Z25" i="62"/>
  <c r="Z31" i="62"/>
  <c r="Z30" i="62" s="1"/>
  <c r="Z45" i="62"/>
  <c r="Z50" i="62"/>
  <c r="Z61" i="62"/>
  <c r="Z64" i="62"/>
  <c r="Z71" i="62"/>
  <c r="Z74" i="62"/>
  <c r="Z80" i="62"/>
  <c r="Z79" i="62" s="1"/>
  <c r="Z94" i="62"/>
  <c r="Z99" i="62"/>
  <c r="Z110" i="62"/>
  <c r="AA110" i="62"/>
  <c r="AB110" i="62"/>
  <c r="AC110" i="62"/>
  <c r="AD110" i="62"/>
  <c r="AE110" i="62"/>
  <c r="AF110" i="62"/>
  <c r="Z154" i="62"/>
  <c r="AA154" i="62"/>
  <c r="AB154" i="62"/>
  <c r="AC154" i="62"/>
  <c r="AD154" i="62"/>
  <c r="AE154" i="62"/>
  <c r="AF154" i="62"/>
  <c r="Z181" i="62"/>
  <c r="AA182" i="62"/>
  <c r="Z186" i="62"/>
  <c r="AA187" i="62"/>
  <c r="H38" i="47"/>
  <c r="C38" i="47"/>
  <c r="D38" i="47"/>
  <c r="E38" i="47"/>
  <c r="F38" i="47"/>
  <c r="G38" i="47"/>
  <c r="B38" i="47"/>
  <c r="Z18" i="62" l="1"/>
  <c r="Z67" i="62"/>
  <c r="Q92" i="62"/>
  <c r="J92" i="62"/>
  <c r="Z11" i="62"/>
  <c r="Z60" i="62"/>
  <c r="AB11" i="62"/>
  <c r="AD11" i="62"/>
  <c r="AC11" i="62"/>
  <c r="AE11" i="62"/>
  <c r="AA11" i="62"/>
  <c r="AF11" i="62"/>
  <c r="S62" i="50"/>
  <c r="L62" i="50"/>
  <c r="E62" i="50"/>
  <c r="S37" i="50"/>
  <c r="L37" i="50"/>
  <c r="E37" i="50"/>
  <c r="S12" i="50"/>
  <c r="L12" i="50"/>
  <c r="E12" i="50"/>
  <c r="R92" i="62" l="1"/>
  <c r="K92" i="62"/>
  <c r="AA60" i="62"/>
  <c r="Z107" i="51"/>
  <c r="Z106" i="51"/>
  <c r="Z105" i="51"/>
  <c r="Z104" i="51"/>
  <c r="Z103" i="51"/>
  <c r="Z102" i="51"/>
  <c r="Z101" i="51"/>
  <c r="Z100" i="51"/>
  <c r="Z99" i="51"/>
  <c r="Z97" i="51"/>
  <c r="Z96" i="51"/>
  <c r="Z95" i="51"/>
  <c r="Z94" i="51"/>
  <c r="Z92" i="51"/>
  <c r="Z90" i="51"/>
  <c r="Z89" i="51"/>
  <c r="Z88" i="51"/>
  <c r="Z87" i="51"/>
  <c r="Z86" i="51"/>
  <c r="Z85" i="51"/>
  <c r="Z84" i="51"/>
  <c r="Z83" i="51"/>
  <c r="Z81" i="51"/>
  <c r="Z80" i="51"/>
  <c r="Z77" i="51"/>
  <c r="S107" i="51"/>
  <c r="S106" i="51"/>
  <c r="S105" i="51"/>
  <c r="S104" i="51"/>
  <c r="S103" i="51"/>
  <c r="S102" i="51"/>
  <c r="S101" i="51"/>
  <c r="S100" i="51"/>
  <c r="S99" i="51"/>
  <c r="S97" i="51"/>
  <c r="S96" i="51"/>
  <c r="S95" i="51"/>
  <c r="S94" i="51"/>
  <c r="S92" i="51"/>
  <c r="S90" i="51"/>
  <c r="S89" i="51"/>
  <c r="S88" i="51"/>
  <c r="S87" i="51"/>
  <c r="S86" i="51"/>
  <c r="S85" i="51"/>
  <c r="S84" i="51"/>
  <c r="S83" i="51"/>
  <c r="S81" i="51"/>
  <c r="S80" i="51"/>
  <c r="S77" i="51"/>
  <c r="L77" i="51"/>
  <c r="L107" i="51"/>
  <c r="L106" i="51"/>
  <c r="L105" i="51"/>
  <c r="L104" i="51"/>
  <c r="L103" i="51"/>
  <c r="L102" i="51"/>
  <c r="L101" i="51"/>
  <c r="L100" i="51"/>
  <c r="L99" i="51"/>
  <c r="L97" i="51"/>
  <c r="L96" i="51"/>
  <c r="L95" i="51"/>
  <c r="L94" i="51"/>
  <c r="L92" i="51"/>
  <c r="L90" i="51"/>
  <c r="L89" i="51"/>
  <c r="L88" i="51"/>
  <c r="L87" i="51"/>
  <c r="L86" i="51"/>
  <c r="L85" i="51"/>
  <c r="L84" i="51"/>
  <c r="L83" i="51"/>
  <c r="L81" i="51"/>
  <c r="L80" i="51"/>
  <c r="Z76" i="51"/>
  <c r="Z75" i="51"/>
  <c r="Z74" i="51"/>
  <c r="Z72" i="51"/>
  <c r="Z71" i="51"/>
  <c r="Z69" i="51"/>
  <c r="Z68" i="51"/>
  <c r="Z67" i="51"/>
  <c r="Z65" i="51"/>
  <c r="Z64" i="51"/>
  <c r="Z62" i="51"/>
  <c r="Z61" i="51"/>
  <c r="S76" i="51"/>
  <c r="S75" i="51"/>
  <c r="S74" i="51"/>
  <c r="S72" i="51"/>
  <c r="S71" i="51"/>
  <c r="S69" i="51"/>
  <c r="S68" i="51"/>
  <c r="S67" i="51"/>
  <c r="S65" i="51"/>
  <c r="S64" i="51"/>
  <c r="S62" i="51"/>
  <c r="S61" i="51"/>
  <c r="L76" i="51"/>
  <c r="L75" i="51"/>
  <c r="L74" i="51"/>
  <c r="L72" i="51"/>
  <c r="L71" i="51"/>
  <c r="L69" i="51"/>
  <c r="L68" i="51"/>
  <c r="L67" i="51"/>
  <c r="L65" i="51"/>
  <c r="L64" i="51"/>
  <c r="L62" i="51"/>
  <c r="L61" i="51"/>
  <c r="Z82" i="51" l="1"/>
  <c r="L82" i="51"/>
  <c r="S82" i="51"/>
  <c r="AB60" i="62"/>
  <c r="AC60" i="62"/>
  <c r="E68" i="50"/>
  <c r="Q31" i="7"/>
  <c r="J31" i="7"/>
  <c r="AE106" i="41" l="1"/>
  <c r="AE105" i="41"/>
  <c r="AE100" i="41"/>
  <c r="AE99" i="41"/>
  <c r="AD60" i="62" l="1"/>
  <c r="AE60" i="62"/>
  <c r="AL79" i="54"/>
  <c r="AL72" i="54" s="1"/>
  <c r="AK79" i="54"/>
  <c r="AK72" i="54" s="1"/>
  <c r="AJ79" i="54"/>
  <c r="AJ72" i="54" s="1"/>
  <c r="AI79" i="54"/>
  <c r="AI72" i="54" s="1"/>
  <c r="AH79" i="54"/>
  <c r="AH72" i="54" s="1"/>
  <c r="AG79" i="54"/>
  <c r="AG72" i="54" s="1"/>
  <c r="AF79" i="54"/>
  <c r="AF72" i="54" s="1"/>
  <c r="AE79" i="54"/>
  <c r="AE72" i="54" s="1"/>
  <c r="AD79" i="54"/>
  <c r="AD72" i="54" s="1"/>
  <c r="AC79" i="54"/>
  <c r="AC72" i="54" s="1"/>
  <c r="Z79" i="54"/>
  <c r="Z72" i="54" s="1"/>
  <c r="Y79" i="54"/>
  <c r="Y72" i="54" s="1"/>
  <c r="X79" i="54"/>
  <c r="X72" i="54" s="1"/>
  <c r="W79" i="54"/>
  <c r="W72" i="54" s="1"/>
  <c r="V79" i="54"/>
  <c r="V72" i="54" s="1"/>
  <c r="U79" i="54"/>
  <c r="U72" i="54" s="1"/>
  <c r="T79" i="54"/>
  <c r="S79" i="54"/>
  <c r="R79" i="54"/>
  <c r="R72" i="54" s="1"/>
  <c r="Q79" i="54"/>
  <c r="Q72" i="54" s="1"/>
  <c r="N79" i="54"/>
  <c r="N72" i="54" s="1"/>
  <c r="M79" i="54"/>
  <c r="M72" i="54" s="1"/>
  <c r="L79" i="54"/>
  <c r="L72" i="54" s="1"/>
  <c r="K79" i="54"/>
  <c r="K72" i="54" s="1"/>
  <c r="J79" i="54"/>
  <c r="J72" i="54" s="1"/>
  <c r="I79" i="54"/>
  <c r="I72" i="54" s="1"/>
  <c r="H79" i="54"/>
  <c r="H72" i="54" s="1"/>
  <c r="G79" i="54"/>
  <c r="G72" i="54" s="1"/>
  <c r="F79" i="54"/>
  <c r="F72" i="54" s="1"/>
  <c r="E79" i="54"/>
  <c r="E72" i="54" s="1"/>
  <c r="T72" i="54"/>
  <c r="S72" i="54"/>
  <c r="AL66" i="54"/>
  <c r="AK66" i="54"/>
  <c r="AJ66" i="54"/>
  <c r="AI66" i="54"/>
  <c r="AH66" i="54"/>
  <c r="AG66" i="54"/>
  <c r="AF66" i="54"/>
  <c r="AE66" i="54"/>
  <c r="AD66" i="54"/>
  <c r="AC66" i="54"/>
  <c r="Z66" i="54"/>
  <c r="Y66" i="54"/>
  <c r="X66" i="54"/>
  <c r="W66" i="54"/>
  <c r="V66" i="54"/>
  <c r="U66" i="54"/>
  <c r="T66" i="54"/>
  <c r="S66" i="54"/>
  <c r="R66" i="54"/>
  <c r="Q66" i="54"/>
  <c r="N66" i="54"/>
  <c r="M66" i="54"/>
  <c r="L66" i="54"/>
  <c r="K66" i="54"/>
  <c r="J66" i="54"/>
  <c r="I66" i="54"/>
  <c r="H66" i="54"/>
  <c r="G66" i="54"/>
  <c r="F66" i="54"/>
  <c r="E66" i="54"/>
  <c r="AL61" i="54"/>
  <c r="AK61" i="54"/>
  <c r="AJ61" i="54"/>
  <c r="AI61" i="54"/>
  <c r="AH61" i="54"/>
  <c r="AG61" i="54"/>
  <c r="AF61" i="54"/>
  <c r="AE61" i="54"/>
  <c r="AD61" i="54"/>
  <c r="AC61" i="54"/>
  <c r="Z61" i="54"/>
  <c r="Y61" i="54"/>
  <c r="X61" i="54"/>
  <c r="W61" i="54"/>
  <c r="V61" i="54"/>
  <c r="U61" i="54"/>
  <c r="T61" i="54"/>
  <c r="S61" i="54"/>
  <c r="R61" i="54"/>
  <c r="Q61" i="54"/>
  <c r="N61" i="54"/>
  <c r="M61" i="54"/>
  <c r="L61" i="54"/>
  <c r="K61" i="54"/>
  <c r="J61" i="54"/>
  <c r="I61" i="54"/>
  <c r="H61" i="54"/>
  <c r="G61" i="54"/>
  <c r="F61" i="54"/>
  <c r="E61" i="54"/>
  <c r="AL57" i="54"/>
  <c r="AK57" i="54"/>
  <c r="AJ57" i="54"/>
  <c r="AI57" i="54"/>
  <c r="AH57" i="54"/>
  <c r="AG57" i="54"/>
  <c r="AF57" i="54"/>
  <c r="AE57" i="54"/>
  <c r="AD57" i="54"/>
  <c r="AC57" i="54"/>
  <c r="Z57" i="54"/>
  <c r="Y57" i="54"/>
  <c r="X57" i="54"/>
  <c r="W57" i="54"/>
  <c r="V57" i="54"/>
  <c r="U57" i="54"/>
  <c r="T57" i="54"/>
  <c r="S57" i="54"/>
  <c r="R57" i="54"/>
  <c r="Q57" i="54"/>
  <c r="N57" i="54"/>
  <c r="M57" i="54"/>
  <c r="L57" i="54"/>
  <c r="K57" i="54"/>
  <c r="J57" i="54"/>
  <c r="I57" i="54"/>
  <c r="H57" i="54"/>
  <c r="G57" i="54"/>
  <c r="F57" i="54"/>
  <c r="E57" i="54"/>
  <c r="AL53" i="54"/>
  <c r="AK53" i="54"/>
  <c r="AJ53" i="54"/>
  <c r="AI53" i="54"/>
  <c r="AH53" i="54"/>
  <c r="AG53" i="54"/>
  <c r="AF53" i="54"/>
  <c r="AE53" i="54"/>
  <c r="AD53" i="54"/>
  <c r="AC53" i="54"/>
  <c r="Z53" i="54"/>
  <c r="Y53" i="54"/>
  <c r="X53" i="54"/>
  <c r="W53" i="54"/>
  <c r="V53" i="54"/>
  <c r="U53" i="54"/>
  <c r="T53" i="54"/>
  <c r="S53" i="54"/>
  <c r="R53" i="54"/>
  <c r="Q53" i="54"/>
  <c r="N53" i="54"/>
  <c r="M53" i="54"/>
  <c r="L53" i="54"/>
  <c r="K53" i="54"/>
  <c r="J53" i="54"/>
  <c r="I53" i="54"/>
  <c r="H53" i="54"/>
  <c r="G53" i="54"/>
  <c r="F53" i="54"/>
  <c r="E53" i="54"/>
  <c r="AL49" i="54"/>
  <c r="AK49" i="54"/>
  <c r="AJ49" i="54"/>
  <c r="AI49" i="54"/>
  <c r="AH49" i="54"/>
  <c r="AG49" i="54"/>
  <c r="AE49" i="54"/>
  <c r="AF49" i="54"/>
  <c r="AD49" i="54"/>
  <c r="AC49" i="54"/>
  <c r="Z49" i="54"/>
  <c r="Y49" i="54"/>
  <c r="X49" i="54"/>
  <c r="W49" i="54"/>
  <c r="V49" i="54"/>
  <c r="U49" i="54"/>
  <c r="T49" i="54"/>
  <c r="S49" i="54"/>
  <c r="R49" i="54"/>
  <c r="Q49" i="54"/>
  <c r="N49" i="54"/>
  <c r="M49" i="54"/>
  <c r="L49" i="54"/>
  <c r="K49" i="54"/>
  <c r="J49" i="54"/>
  <c r="I49" i="54"/>
  <c r="H49" i="54"/>
  <c r="G49" i="54"/>
  <c r="F49" i="54"/>
  <c r="E49" i="54"/>
  <c r="AL36" i="54"/>
  <c r="AL28" i="54" s="1"/>
  <c r="AK36" i="54"/>
  <c r="AJ36" i="54"/>
  <c r="AI36" i="54"/>
  <c r="AI28" i="54" s="1"/>
  <c r="AH36" i="54"/>
  <c r="AH28" i="54" s="1"/>
  <c r="AG36" i="54"/>
  <c r="AF36" i="54"/>
  <c r="AF28" i="54" s="1"/>
  <c r="AE36" i="54"/>
  <c r="AD36" i="54"/>
  <c r="AD28" i="54" s="1"/>
  <c r="AC36" i="54"/>
  <c r="Z36" i="54"/>
  <c r="Y36" i="54"/>
  <c r="Y28" i="54" s="1"/>
  <c r="X36" i="54"/>
  <c r="X28" i="54" s="1"/>
  <c r="W36" i="54"/>
  <c r="V36" i="54"/>
  <c r="U36" i="54"/>
  <c r="U28" i="54" s="1"/>
  <c r="T36" i="54"/>
  <c r="T28" i="54" s="1"/>
  <c r="S36" i="54"/>
  <c r="R36" i="54"/>
  <c r="Q36" i="54"/>
  <c r="Q28" i="54" s="1"/>
  <c r="N36" i="54"/>
  <c r="N28" i="54" s="1"/>
  <c r="M36" i="54"/>
  <c r="L36" i="54"/>
  <c r="K36" i="54"/>
  <c r="K28" i="54" s="1"/>
  <c r="J36" i="54"/>
  <c r="J28" i="54" s="1"/>
  <c r="I36" i="54"/>
  <c r="H36" i="54"/>
  <c r="G36" i="54"/>
  <c r="G28" i="54" s="1"/>
  <c r="F36" i="54"/>
  <c r="F28" i="54" s="1"/>
  <c r="E36" i="54"/>
  <c r="AK24" i="54"/>
  <c r="AL24" i="54"/>
  <c r="AJ24" i="54"/>
  <c r="AI24" i="54"/>
  <c r="AH24" i="54"/>
  <c r="AG24" i="54"/>
  <c r="AF24" i="54"/>
  <c r="AE24" i="54"/>
  <c r="AD24" i="54"/>
  <c r="AC24" i="54"/>
  <c r="Z24" i="54"/>
  <c r="Y24" i="54"/>
  <c r="X24" i="54"/>
  <c r="W24" i="54"/>
  <c r="V24" i="54"/>
  <c r="U24" i="54"/>
  <c r="T24" i="54"/>
  <c r="S24" i="54"/>
  <c r="R24" i="54"/>
  <c r="Q24" i="54"/>
  <c r="N24" i="54"/>
  <c r="M24" i="54"/>
  <c r="L24" i="54"/>
  <c r="K24" i="54"/>
  <c r="J24" i="54"/>
  <c r="I24" i="54"/>
  <c r="H24" i="54"/>
  <c r="G24" i="54"/>
  <c r="F24" i="54"/>
  <c r="E24" i="54"/>
  <c r="C24" i="54"/>
  <c r="AL18" i="54"/>
  <c r="AK18" i="54"/>
  <c r="AJ18" i="54"/>
  <c r="AI18" i="54"/>
  <c r="AH18" i="54"/>
  <c r="AG18" i="54"/>
  <c r="AF18" i="54"/>
  <c r="AE18" i="54"/>
  <c r="AD18" i="54"/>
  <c r="AC18" i="54"/>
  <c r="Z18" i="54"/>
  <c r="Y18" i="54"/>
  <c r="X18" i="54"/>
  <c r="W18" i="54"/>
  <c r="V18" i="54"/>
  <c r="U18" i="54"/>
  <c r="T18" i="54"/>
  <c r="S18" i="54"/>
  <c r="O18" i="54"/>
  <c r="P18" i="54"/>
  <c r="R18" i="54"/>
  <c r="Q18" i="54"/>
  <c r="N18" i="54"/>
  <c r="M18" i="54"/>
  <c r="L18" i="54"/>
  <c r="K18" i="54"/>
  <c r="J18" i="54"/>
  <c r="I18" i="54"/>
  <c r="H18" i="54"/>
  <c r="G18" i="54"/>
  <c r="F18" i="54"/>
  <c r="E18" i="54"/>
  <c r="E12" i="54"/>
  <c r="O20" i="41"/>
  <c r="N20" i="41"/>
  <c r="P20" i="41"/>
  <c r="Q20" i="41"/>
  <c r="R20" i="41"/>
  <c r="S20" i="41"/>
  <c r="S278" i="50"/>
  <c r="S277" i="50"/>
  <c r="S276" i="50"/>
  <c r="S275" i="50"/>
  <c r="S274" i="50"/>
  <c r="S273" i="50"/>
  <c r="S272" i="50"/>
  <c r="S271" i="50"/>
  <c r="S270" i="50"/>
  <c r="S269" i="50"/>
  <c r="S268" i="50"/>
  <c r="S267" i="50"/>
  <c r="S266" i="50"/>
  <c r="S265" i="50"/>
  <c r="S264" i="50"/>
  <c r="S263" i="50"/>
  <c r="S262" i="50"/>
  <c r="S261" i="50"/>
  <c r="S260" i="50"/>
  <c r="S259" i="50"/>
  <c r="S258" i="50"/>
  <c r="L278" i="50"/>
  <c r="L277" i="50"/>
  <c r="L276" i="50"/>
  <c r="L275" i="50"/>
  <c r="L274" i="50"/>
  <c r="L273" i="50"/>
  <c r="L272" i="50"/>
  <c r="L271" i="50"/>
  <c r="L270" i="50"/>
  <c r="L269" i="50"/>
  <c r="L268" i="50"/>
  <c r="L267" i="50"/>
  <c r="L266" i="50"/>
  <c r="L265" i="50"/>
  <c r="L264" i="50"/>
  <c r="L263" i="50"/>
  <c r="L262" i="50"/>
  <c r="L261" i="50"/>
  <c r="L260" i="50"/>
  <c r="L259" i="50"/>
  <c r="L258" i="50"/>
  <c r="E260" i="50"/>
  <c r="E261" i="50"/>
  <c r="E262" i="50"/>
  <c r="E263" i="50"/>
  <c r="E264" i="50"/>
  <c r="E265" i="50"/>
  <c r="E266" i="50"/>
  <c r="E267" i="50"/>
  <c r="E268" i="50"/>
  <c r="E269" i="50"/>
  <c r="E270" i="50"/>
  <c r="E271" i="50"/>
  <c r="E272" i="50"/>
  <c r="E273" i="50"/>
  <c r="E274" i="50"/>
  <c r="E275" i="50"/>
  <c r="E276" i="50"/>
  <c r="E277" i="50"/>
  <c r="E278" i="50"/>
  <c r="E258" i="50"/>
  <c r="E259" i="50"/>
  <c r="S189" i="50"/>
  <c r="S188" i="50"/>
  <c r="S187" i="50"/>
  <c r="S186" i="50"/>
  <c r="S185" i="50"/>
  <c r="S184" i="50"/>
  <c r="S183" i="50"/>
  <c r="S182" i="50"/>
  <c r="S181" i="50"/>
  <c r="S180" i="50"/>
  <c r="S179" i="50"/>
  <c r="S178" i="50"/>
  <c r="S177" i="50"/>
  <c r="S176" i="50"/>
  <c r="S175" i="50"/>
  <c r="S174" i="50"/>
  <c r="S173" i="50"/>
  <c r="S172" i="50"/>
  <c r="S171" i="50"/>
  <c r="L189" i="50"/>
  <c r="L188" i="50"/>
  <c r="L187" i="50"/>
  <c r="L186" i="50"/>
  <c r="L185" i="50"/>
  <c r="L184" i="50"/>
  <c r="L183" i="50"/>
  <c r="L182" i="50"/>
  <c r="L181" i="50"/>
  <c r="L180" i="50"/>
  <c r="L179" i="50"/>
  <c r="L178" i="50"/>
  <c r="L177" i="50"/>
  <c r="L176" i="50"/>
  <c r="L175" i="50"/>
  <c r="L174" i="50"/>
  <c r="L173" i="50"/>
  <c r="L172" i="50"/>
  <c r="L171" i="50"/>
  <c r="E173" i="50"/>
  <c r="E174" i="50"/>
  <c r="E175" i="50"/>
  <c r="E176" i="50"/>
  <c r="E177" i="50"/>
  <c r="E178" i="50"/>
  <c r="E179" i="50"/>
  <c r="E180" i="50"/>
  <c r="E181" i="50"/>
  <c r="E182" i="50"/>
  <c r="E183" i="50"/>
  <c r="E184" i="50"/>
  <c r="E185" i="50"/>
  <c r="E186" i="50"/>
  <c r="E187" i="50"/>
  <c r="E188" i="50"/>
  <c r="E189" i="50"/>
  <c r="E172" i="50"/>
  <c r="E171" i="50"/>
  <c r="E85" i="50"/>
  <c r="AE28" i="54" l="1"/>
  <c r="H28" i="54"/>
  <c r="L28" i="54"/>
  <c r="R28" i="54"/>
  <c r="V28" i="54"/>
  <c r="Z28" i="54"/>
  <c r="AJ28" i="54"/>
  <c r="E28" i="54"/>
  <c r="I28" i="54"/>
  <c r="M28" i="54"/>
  <c r="S28" i="54"/>
  <c r="W28" i="54"/>
  <c r="AC28" i="54"/>
  <c r="AG28" i="54"/>
  <c r="AK28" i="54"/>
  <c r="AF60" i="62"/>
  <c r="E11" i="54"/>
  <c r="E84" i="54" l="1"/>
  <c r="B8" i="47"/>
  <c r="AB79" i="54" l="1"/>
  <c r="AB72" i="54" s="1"/>
  <c r="AA79" i="54"/>
  <c r="AA72" i="54" s="1"/>
  <c r="AB66" i="54"/>
  <c r="AA66" i="54"/>
  <c r="AB61" i="54"/>
  <c r="AA61" i="54"/>
  <c r="AB57" i="54"/>
  <c r="AA57" i="54"/>
  <c r="AB53" i="54"/>
  <c r="AA53" i="54"/>
  <c r="AB49" i="54"/>
  <c r="AA49" i="54"/>
  <c r="AB36" i="54"/>
  <c r="AB28" i="54" s="1"/>
  <c r="AA36" i="54"/>
  <c r="AA28" i="54" s="1"/>
  <c r="AB24" i="54"/>
  <c r="AA24" i="54"/>
  <c r="AB18" i="54"/>
  <c r="AA18" i="54"/>
  <c r="P79" i="54"/>
  <c r="P72" i="54" s="1"/>
  <c r="O79" i="54"/>
  <c r="O72" i="54" s="1"/>
  <c r="P66" i="54"/>
  <c r="O66" i="54"/>
  <c r="P61" i="54"/>
  <c r="O61" i="54"/>
  <c r="P57" i="54"/>
  <c r="O57" i="54"/>
  <c r="P53" i="54"/>
  <c r="O53" i="54"/>
  <c r="P49" i="54"/>
  <c r="O49" i="54"/>
  <c r="P36" i="54"/>
  <c r="O36" i="54"/>
  <c r="P24" i="54"/>
  <c r="O24" i="54"/>
  <c r="D79" i="54"/>
  <c r="D72" i="54" s="1"/>
  <c r="C79" i="54"/>
  <c r="C72" i="54" s="1"/>
  <c r="D66" i="54"/>
  <c r="C66" i="54"/>
  <c r="D61" i="54"/>
  <c r="C61" i="54"/>
  <c r="D57" i="54"/>
  <c r="C57" i="54"/>
  <c r="D53" i="54"/>
  <c r="C53" i="54"/>
  <c r="D49" i="54"/>
  <c r="C49" i="54"/>
  <c r="D36" i="54"/>
  <c r="D28" i="54" s="1"/>
  <c r="C36" i="54"/>
  <c r="D24" i="54"/>
  <c r="D18" i="54"/>
  <c r="C18" i="54"/>
  <c r="S108" i="50"/>
  <c r="S107" i="50"/>
  <c r="S106" i="50"/>
  <c r="S105" i="50"/>
  <c r="S104" i="50"/>
  <c r="S103" i="50"/>
  <c r="S102" i="50"/>
  <c r="S101" i="50"/>
  <c r="S100" i="50"/>
  <c r="S99" i="50"/>
  <c r="S98" i="50"/>
  <c r="S97" i="50"/>
  <c r="S96" i="50"/>
  <c r="S95" i="50"/>
  <c r="S94" i="50"/>
  <c r="S92" i="50"/>
  <c r="S91" i="50"/>
  <c r="S90" i="50"/>
  <c r="S89" i="50"/>
  <c r="S88" i="50"/>
  <c r="S86" i="50"/>
  <c r="S85" i="50"/>
  <c r="E71" i="62"/>
  <c r="L108" i="50"/>
  <c r="L107" i="50"/>
  <c r="L106" i="50"/>
  <c r="L105" i="50"/>
  <c r="L104" i="50"/>
  <c r="L103" i="50"/>
  <c r="L102" i="50"/>
  <c r="L101" i="50"/>
  <c r="L100" i="50"/>
  <c r="L99" i="50"/>
  <c r="L98" i="50"/>
  <c r="L97" i="50"/>
  <c r="L96" i="50"/>
  <c r="L95" i="50"/>
  <c r="L94" i="50"/>
  <c r="L92" i="50"/>
  <c r="L91" i="50"/>
  <c r="L90" i="50"/>
  <c r="L89" i="50"/>
  <c r="L88" i="50"/>
  <c r="L86" i="50"/>
  <c r="L85" i="50"/>
  <c r="E108" i="50"/>
  <c r="E107" i="50"/>
  <c r="E106" i="50"/>
  <c r="E105" i="50"/>
  <c r="E104" i="50"/>
  <c r="E103" i="50"/>
  <c r="E102" i="50"/>
  <c r="E101" i="50"/>
  <c r="E100" i="50"/>
  <c r="E99" i="50"/>
  <c r="E98" i="50"/>
  <c r="E97" i="50"/>
  <c r="E96" i="50"/>
  <c r="E95" i="50"/>
  <c r="E94" i="50"/>
  <c r="E92" i="50"/>
  <c r="E91" i="50"/>
  <c r="E90" i="50"/>
  <c r="E89" i="50"/>
  <c r="E88" i="50"/>
  <c r="E86" i="50"/>
  <c r="C28" i="54" l="1"/>
  <c r="O28" i="54"/>
  <c r="P28" i="54"/>
  <c r="S87" i="50"/>
  <c r="S93" i="50"/>
  <c r="L93" i="50"/>
  <c r="E93" i="50"/>
  <c r="L87" i="50"/>
  <c r="E87" i="50"/>
  <c r="E84" i="50" l="1"/>
  <c r="E43" i="50" l="1"/>
  <c r="E18" i="50"/>
  <c r="L18" i="50"/>
  <c r="S18" i="50"/>
  <c r="L43" i="50"/>
  <c r="S43" i="50"/>
  <c r="L9" i="50" l="1"/>
  <c r="E34" i="50"/>
  <c r="S9" i="50"/>
  <c r="E9" i="50"/>
  <c r="E130" i="50" l="1"/>
  <c r="E10" i="65" l="1"/>
  <c r="F10" i="65"/>
  <c r="G10" i="65"/>
  <c r="H10" i="65"/>
  <c r="I10" i="65"/>
  <c r="J10" i="65"/>
  <c r="D10" i="65"/>
  <c r="W54" i="39" l="1"/>
  <c r="V54" i="39"/>
  <c r="U54" i="39"/>
  <c r="T54" i="39"/>
  <c r="S54" i="39"/>
  <c r="R54" i="39"/>
  <c r="Q54" i="39"/>
  <c r="W53" i="39"/>
  <c r="V53" i="39"/>
  <c r="U53" i="39"/>
  <c r="T53" i="39"/>
  <c r="S53" i="39"/>
  <c r="R53" i="39"/>
  <c r="Q53" i="39"/>
  <c r="P12" i="39"/>
  <c r="O12" i="39"/>
  <c r="N12" i="39"/>
  <c r="M12" i="39"/>
  <c r="L12" i="39"/>
  <c r="K12" i="39"/>
  <c r="J12" i="39"/>
  <c r="S67" i="41"/>
  <c r="R67" i="41"/>
  <c r="Q67" i="41"/>
  <c r="P67" i="41"/>
  <c r="O67" i="41"/>
  <c r="N67" i="41"/>
  <c r="M67" i="41"/>
  <c r="S66" i="41"/>
  <c r="R66" i="41"/>
  <c r="Q66" i="41"/>
  <c r="P66" i="41"/>
  <c r="O66" i="41"/>
  <c r="N66" i="41"/>
  <c r="M66" i="41"/>
  <c r="S65" i="41"/>
  <c r="R65" i="41"/>
  <c r="Q65" i="41"/>
  <c r="P65" i="41"/>
  <c r="O65" i="41"/>
  <c r="N65" i="41"/>
  <c r="M65" i="41"/>
  <c r="S64" i="41"/>
  <c r="R64" i="41"/>
  <c r="Q64" i="41"/>
  <c r="P64" i="41"/>
  <c r="O64" i="41"/>
  <c r="N64" i="41"/>
  <c r="M64" i="41"/>
  <c r="S63" i="41"/>
  <c r="R63" i="41"/>
  <c r="Q63" i="41"/>
  <c r="P63" i="41"/>
  <c r="O63" i="41"/>
  <c r="N63" i="41"/>
  <c r="M63" i="41"/>
  <c r="S62" i="41"/>
  <c r="R62" i="41"/>
  <c r="Q62" i="41"/>
  <c r="P62" i="41"/>
  <c r="O62" i="41"/>
  <c r="N62" i="41"/>
  <c r="M62" i="41"/>
  <c r="S61" i="41"/>
  <c r="R61" i="41"/>
  <c r="Q61" i="41"/>
  <c r="P61" i="41"/>
  <c r="O61" i="41"/>
  <c r="N61" i="41"/>
  <c r="M61" i="41"/>
  <c r="S60" i="41"/>
  <c r="R60" i="41"/>
  <c r="Q60" i="41"/>
  <c r="P60" i="41"/>
  <c r="O60" i="41"/>
  <c r="N60" i="41"/>
  <c r="M60" i="41"/>
  <c r="S58" i="41"/>
  <c r="R58" i="41"/>
  <c r="Q58" i="41"/>
  <c r="P58" i="41"/>
  <c r="O58" i="41"/>
  <c r="N58" i="41"/>
  <c r="M58" i="41"/>
  <c r="S57" i="41"/>
  <c r="R57" i="41"/>
  <c r="Q57" i="41"/>
  <c r="P57" i="41"/>
  <c r="O57" i="41"/>
  <c r="N57" i="41"/>
  <c r="M57" i="41"/>
  <c r="S55" i="41"/>
  <c r="R55" i="41"/>
  <c r="Q55" i="41"/>
  <c r="P55" i="41"/>
  <c r="O55" i="41"/>
  <c r="N55" i="41"/>
  <c r="M55" i="41"/>
  <c r="S54" i="41"/>
  <c r="R54" i="41"/>
  <c r="Q54" i="41"/>
  <c r="P54" i="41"/>
  <c r="O54" i="41"/>
  <c r="N54" i="41"/>
  <c r="M54" i="41"/>
  <c r="S53" i="41"/>
  <c r="R53" i="41"/>
  <c r="Q53" i="41"/>
  <c r="P53" i="41"/>
  <c r="O53" i="41"/>
  <c r="N53" i="41"/>
  <c r="M53" i="41"/>
  <c r="S52" i="41"/>
  <c r="R52" i="41"/>
  <c r="Q52" i="41"/>
  <c r="P52" i="41"/>
  <c r="O52" i="41"/>
  <c r="N52" i="41"/>
  <c r="M52" i="41"/>
  <c r="S51" i="41"/>
  <c r="R51" i="41"/>
  <c r="Q51" i="41"/>
  <c r="P51" i="41"/>
  <c r="O51" i="41"/>
  <c r="N51" i="41"/>
  <c r="M51" i="41"/>
  <c r="S50" i="41"/>
  <c r="R50" i="41"/>
  <c r="Q50" i="41"/>
  <c r="P50" i="41"/>
  <c r="O50" i="41"/>
  <c r="N50" i="41"/>
  <c r="M50" i="41"/>
  <c r="S49" i="41"/>
  <c r="R49" i="41"/>
  <c r="Q49" i="41"/>
  <c r="P49" i="41"/>
  <c r="O49" i="41"/>
  <c r="N49" i="41"/>
  <c r="M49" i="41"/>
  <c r="S48" i="41"/>
  <c r="R48" i="41"/>
  <c r="Q48" i="41"/>
  <c r="P48" i="41"/>
  <c r="O48" i="41"/>
  <c r="N48" i="41"/>
  <c r="M48" i="41"/>
  <c r="S46" i="41"/>
  <c r="R46" i="41"/>
  <c r="Q46" i="41"/>
  <c r="P46" i="41"/>
  <c r="O46" i="41"/>
  <c r="N46" i="41"/>
  <c r="M46" i="41"/>
  <c r="S45" i="41"/>
  <c r="R45" i="41"/>
  <c r="Q45" i="41"/>
  <c r="P45" i="41"/>
  <c r="O45" i="41"/>
  <c r="N45" i="41"/>
  <c r="M45" i="41"/>
  <c r="S44" i="41"/>
  <c r="R44" i="41"/>
  <c r="Q44" i="41"/>
  <c r="P44" i="41"/>
  <c r="O44" i="41"/>
  <c r="N44" i="41"/>
  <c r="M44" i="41"/>
  <c r="S43" i="41"/>
  <c r="R43" i="41"/>
  <c r="Q43" i="41"/>
  <c r="P43" i="41"/>
  <c r="O43" i="41"/>
  <c r="N43" i="41"/>
  <c r="M43" i="41"/>
  <c r="S42" i="41"/>
  <c r="R42" i="41"/>
  <c r="Q42" i="41"/>
  <c r="P42" i="41"/>
  <c r="O42" i="41"/>
  <c r="N42" i="41"/>
  <c r="M42" i="41"/>
  <c r="S41" i="41"/>
  <c r="R41" i="41"/>
  <c r="Q41" i="41"/>
  <c r="P41" i="41"/>
  <c r="O41" i="41"/>
  <c r="N41" i="41"/>
  <c r="M41" i="41"/>
  <c r="S40" i="41"/>
  <c r="R40" i="41"/>
  <c r="Q40" i="41"/>
  <c r="P40" i="41"/>
  <c r="O40" i="41"/>
  <c r="N40" i="41"/>
  <c r="M40" i="41"/>
  <c r="S39" i="41"/>
  <c r="R39" i="41"/>
  <c r="Q39" i="41"/>
  <c r="P39" i="41"/>
  <c r="O39" i="41"/>
  <c r="N39" i="41"/>
  <c r="M39" i="41"/>
  <c r="S38" i="41"/>
  <c r="R38" i="41"/>
  <c r="Q38" i="41"/>
  <c r="P38" i="41"/>
  <c r="O38" i="41"/>
  <c r="N38" i="41"/>
  <c r="M38" i="41"/>
  <c r="S37" i="41"/>
  <c r="R37" i="41"/>
  <c r="Q37" i="41"/>
  <c r="P37" i="41"/>
  <c r="O37" i="41"/>
  <c r="N37" i="41"/>
  <c r="M37" i="41"/>
  <c r="S36" i="41"/>
  <c r="R36" i="41"/>
  <c r="Q36" i="41"/>
  <c r="P36" i="41"/>
  <c r="O36" i="41"/>
  <c r="N36" i="41"/>
  <c r="M36" i="41"/>
  <c r="S34" i="41"/>
  <c r="R34" i="41"/>
  <c r="Q34" i="41"/>
  <c r="P34" i="41"/>
  <c r="O34" i="41"/>
  <c r="N34" i="41"/>
  <c r="M34" i="41"/>
  <c r="S33" i="41"/>
  <c r="R33" i="41"/>
  <c r="Q33" i="41"/>
  <c r="P33" i="41"/>
  <c r="O33" i="41"/>
  <c r="N33" i="41"/>
  <c r="M33" i="41"/>
  <c r="S32" i="41"/>
  <c r="R32" i="41"/>
  <c r="Q32" i="41"/>
  <c r="P32" i="41"/>
  <c r="O32" i="41"/>
  <c r="N32" i="41"/>
  <c r="M32" i="41"/>
  <c r="S31" i="41"/>
  <c r="R31" i="41"/>
  <c r="Q31" i="41"/>
  <c r="P31" i="41"/>
  <c r="O31" i="41"/>
  <c r="N31" i="41"/>
  <c r="M31" i="41"/>
  <c r="S30" i="41"/>
  <c r="R30" i="41"/>
  <c r="Q30" i="41"/>
  <c r="P30" i="41"/>
  <c r="O30" i="41"/>
  <c r="N30" i="41"/>
  <c r="M30" i="41"/>
  <c r="S29" i="41"/>
  <c r="R29" i="41"/>
  <c r="Q29" i="41"/>
  <c r="P29" i="41"/>
  <c r="O29" i="41"/>
  <c r="N29" i="41"/>
  <c r="M29" i="41"/>
  <c r="S28" i="41"/>
  <c r="R28" i="41"/>
  <c r="Q28" i="41"/>
  <c r="P28" i="41"/>
  <c r="O28" i="41"/>
  <c r="N28" i="41"/>
  <c r="M28" i="41"/>
  <c r="S27" i="41"/>
  <c r="R27" i="41"/>
  <c r="Q27" i="41"/>
  <c r="P27" i="41"/>
  <c r="O27" i="41"/>
  <c r="N27" i="41"/>
  <c r="M27" i="41"/>
  <c r="S26" i="41"/>
  <c r="R26" i="41"/>
  <c r="Q26" i="41"/>
  <c r="P26" i="41"/>
  <c r="O26" i="41"/>
  <c r="N26" i="41"/>
  <c r="M26" i="41"/>
  <c r="S25" i="41"/>
  <c r="R25" i="41"/>
  <c r="Q25" i="41"/>
  <c r="P25" i="41"/>
  <c r="O25" i="41"/>
  <c r="N25" i="41"/>
  <c r="M25" i="41"/>
  <c r="S24" i="41"/>
  <c r="R24" i="41"/>
  <c r="Q24" i="41"/>
  <c r="P24" i="41"/>
  <c r="O24" i="41"/>
  <c r="N24" i="41"/>
  <c r="M24" i="41"/>
  <c r="S23" i="41"/>
  <c r="R23" i="41"/>
  <c r="Q23" i="41"/>
  <c r="P23" i="41"/>
  <c r="O23" i="41"/>
  <c r="N23" i="41"/>
  <c r="M23" i="41"/>
  <c r="S22" i="41"/>
  <c r="R22" i="41"/>
  <c r="Q22" i="41"/>
  <c r="P22" i="41"/>
  <c r="O22" i="41"/>
  <c r="N22" i="41"/>
  <c r="M22" i="41"/>
  <c r="S21" i="41"/>
  <c r="R21" i="41"/>
  <c r="Q21" i="41"/>
  <c r="P21" i="41"/>
  <c r="O21" i="41"/>
  <c r="N21" i="41"/>
  <c r="M21" i="41"/>
  <c r="M20" i="41"/>
  <c r="S19" i="41"/>
  <c r="R19" i="41"/>
  <c r="Q19" i="41"/>
  <c r="P19" i="41"/>
  <c r="O19" i="41"/>
  <c r="N19" i="41"/>
  <c r="M19" i="41"/>
  <c r="S18" i="41"/>
  <c r="R18" i="41"/>
  <c r="Q18" i="41"/>
  <c r="P18" i="41"/>
  <c r="O18" i="41"/>
  <c r="N18" i="41"/>
  <c r="M18" i="41"/>
  <c r="S17" i="41"/>
  <c r="R17" i="41"/>
  <c r="Q17" i="41"/>
  <c r="P17" i="41"/>
  <c r="O17" i="41"/>
  <c r="N17" i="41"/>
  <c r="M17" i="41"/>
  <c r="S16" i="41"/>
  <c r="R16" i="41"/>
  <c r="Q16" i="41"/>
  <c r="P16" i="41"/>
  <c r="O16" i="41"/>
  <c r="N16" i="41"/>
  <c r="M16" i="41"/>
  <c r="S15" i="41"/>
  <c r="R15" i="41"/>
  <c r="Q15" i="41"/>
  <c r="P15" i="41"/>
  <c r="O15" i="41"/>
  <c r="N15" i="41"/>
  <c r="M15" i="41"/>
  <c r="S14" i="41"/>
  <c r="R14" i="41"/>
  <c r="Q14" i="41"/>
  <c r="P14" i="41"/>
  <c r="O14" i="41"/>
  <c r="N14" i="41"/>
  <c r="M14" i="41"/>
  <c r="S13" i="41"/>
  <c r="R13" i="41"/>
  <c r="Q13" i="41"/>
  <c r="P13" i="41"/>
  <c r="O13" i="41"/>
  <c r="N13" i="41"/>
  <c r="M13" i="41"/>
  <c r="S12" i="41"/>
  <c r="R12" i="41"/>
  <c r="Q12" i="41"/>
  <c r="P12" i="41"/>
  <c r="O12" i="41"/>
  <c r="N12" i="41"/>
  <c r="M12" i="41"/>
  <c r="S11" i="41"/>
  <c r="R11" i="41"/>
  <c r="Q11" i="41"/>
  <c r="P11" i="41"/>
  <c r="O11" i="41"/>
  <c r="N11" i="41"/>
  <c r="M11" i="41"/>
  <c r="F25" i="2" l="1"/>
  <c r="G25" i="2"/>
  <c r="H25" i="2"/>
  <c r="I25" i="2"/>
  <c r="J25" i="2"/>
  <c r="K25" i="2"/>
  <c r="E25" i="2"/>
  <c r="F216" i="50" l="1"/>
  <c r="F238" i="50" s="1"/>
  <c r="M216" i="50"/>
  <c r="M238" i="50" s="1"/>
  <c r="M217" i="50"/>
  <c r="M239" i="50" s="1"/>
  <c r="T217" i="50"/>
  <c r="T239" i="50" s="1"/>
  <c r="F222" i="50"/>
  <c r="F244" i="50" s="1"/>
  <c r="M222" i="50"/>
  <c r="M244" i="50" s="1"/>
  <c r="F217" i="50" l="1"/>
  <c r="F239" i="50" s="1"/>
  <c r="F261" i="50" s="1"/>
  <c r="T216" i="50"/>
  <c r="T238" i="50" s="1"/>
  <c r="T260" i="50" s="1"/>
  <c r="W222" i="50"/>
  <c r="R222" i="50"/>
  <c r="U217" i="50"/>
  <c r="U239" i="50" s="1"/>
  <c r="U261" i="50" s="1"/>
  <c r="G217" i="50"/>
  <c r="N216" i="50"/>
  <c r="N238" i="50" s="1"/>
  <c r="N260" i="50" s="1"/>
  <c r="N217" i="50"/>
  <c r="N239" i="50" s="1"/>
  <c r="N261" i="50" s="1"/>
  <c r="Y216" i="50"/>
  <c r="W216" i="50"/>
  <c r="G216" i="50"/>
  <c r="G238" i="50" s="1"/>
  <c r="P222" i="50"/>
  <c r="Q222" i="50"/>
  <c r="N222" i="50"/>
  <c r="N244" i="50" s="1"/>
  <c r="N266" i="50" s="1"/>
  <c r="T222" i="50"/>
  <c r="T244" i="50" s="1"/>
  <c r="T266" i="50" s="1"/>
  <c r="U222" i="50"/>
  <c r="Y222" i="50"/>
  <c r="F260" i="50"/>
  <c r="M260" i="50"/>
  <c r="U216" i="50"/>
  <c r="U238" i="50" s="1"/>
  <c r="T261" i="50"/>
  <c r="M261" i="50"/>
  <c r="V216" i="50"/>
  <c r="F266" i="50"/>
  <c r="V222" i="50"/>
  <c r="M266" i="50"/>
  <c r="O222" i="50"/>
  <c r="G239" i="50" l="1"/>
  <c r="G261" i="50" s="1"/>
  <c r="X216" i="50"/>
  <c r="X222" i="50"/>
  <c r="V217" i="50"/>
  <c r="V239" i="50" s="1"/>
  <c r="V261" i="50" s="1"/>
  <c r="G222" i="50"/>
  <c r="G244" i="50" s="1"/>
  <c r="G266" i="50" s="1"/>
  <c r="H216" i="50"/>
  <c r="H238" i="50" s="1"/>
  <c r="O217" i="50"/>
  <c r="O239" i="50" s="1"/>
  <c r="O216" i="50"/>
  <c r="O238" i="50" s="1"/>
  <c r="O260" i="50" s="1"/>
  <c r="H217" i="50"/>
  <c r="H239" i="50" s="1"/>
  <c r="W217" i="50"/>
  <c r="G260" i="50"/>
  <c r="U244" i="50"/>
  <c r="U266" i="50" s="1"/>
  <c r="U260" i="50"/>
  <c r="V238" i="50"/>
  <c r="V260" i="50" s="1"/>
  <c r="O244" i="50"/>
  <c r="O266" i="50" s="1"/>
  <c r="E15" i="21"/>
  <c r="E13" i="21" s="1"/>
  <c r="D15" i="21"/>
  <c r="D13" i="21" s="1"/>
  <c r="H222" i="50" l="1"/>
  <c r="H244" i="50" s="1"/>
  <c r="H266" i="50" s="1"/>
  <c r="V244" i="50"/>
  <c r="V266" i="50" s="1"/>
  <c r="W239" i="50"/>
  <c r="W261" i="50" s="1"/>
  <c r="O261" i="50"/>
  <c r="H261" i="50"/>
  <c r="H260" i="50"/>
  <c r="P216" i="50"/>
  <c r="P238" i="50" s="1"/>
  <c r="P260" i="50" s="1"/>
  <c r="P217" i="50"/>
  <c r="P239" i="50" s="1"/>
  <c r="Y217" i="50"/>
  <c r="X217" i="50"/>
  <c r="I217" i="50"/>
  <c r="I239" i="50" s="1"/>
  <c r="I216" i="50"/>
  <c r="I238" i="50" s="1"/>
  <c r="W238" i="50"/>
  <c r="X238" i="50" s="1"/>
  <c r="P244" i="50"/>
  <c r="Q244" i="50" s="1"/>
  <c r="W244" i="50" l="1"/>
  <c r="X239" i="50"/>
  <c r="Y239" i="50" s="1"/>
  <c r="Y261" i="50" s="1"/>
  <c r="I222" i="50"/>
  <c r="I244" i="50" s="1"/>
  <c r="P266" i="50"/>
  <c r="W260" i="50"/>
  <c r="I260" i="50"/>
  <c r="I261" i="50"/>
  <c r="P261" i="50"/>
  <c r="K216" i="50"/>
  <c r="J216" i="50"/>
  <c r="J238" i="50" s="1"/>
  <c r="K217" i="50"/>
  <c r="J217" i="50"/>
  <c r="J239" i="50" s="1"/>
  <c r="Q217" i="50"/>
  <c r="Q239" i="50" s="1"/>
  <c r="R217" i="50"/>
  <c r="Q216" i="50"/>
  <c r="Q238" i="50" s="1"/>
  <c r="R216" i="50"/>
  <c r="X260" i="50"/>
  <c r="Y238" i="50"/>
  <c r="Y260" i="50" s="1"/>
  <c r="Q266" i="50"/>
  <c r="R244" i="50"/>
  <c r="R266" i="50" s="1"/>
  <c r="B34" i="48"/>
  <c r="B21" i="48"/>
  <c r="C21" i="60"/>
  <c r="AF30" i="60"/>
  <c r="AE31" i="60"/>
  <c r="AS24" i="60"/>
  <c r="AY28" i="60"/>
  <c r="AX28" i="60"/>
  <c r="AW28" i="60"/>
  <c r="AV28" i="60"/>
  <c r="AU28" i="60"/>
  <c r="AT28" i="60"/>
  <c r="AS28" i="60"/>
  <c r="AY27" i="60"/>
  <c r="AX27" i="60"/>
  <c r="AW27" i="60"/>
  <c r="AV27" i="60"/>
  <c r="AU27" i="60"/>
  <c r="AT27" i="60"/>
  <c r="AS27" i="60"/>
  <c r="AY26" i="60"/>
  <c r="AX26" i="60"/>
  <c r="AW26" i="60"/>
  <c r="AV26" i="60"/>
  <c r="AU26" i="60"/>
  <c r="AT26" i="60"/>
  <c r="AS26" i="60"/>
  <c r="AY25" i="60"/>
  <c r="AX25" i="60"/>
  <c r="AW25" i="60"/>
  <c r="AV25" i="60"/>
  <c r="AU25" i="60"/>
  <c r="AT25" i="60"/>
  <c r="AS25" i="60"/>
  <c r="AY24" i="60"/>
  <c r="AX24" i="60"/>
  <c r="AW24" i="60"/>
  <c r="AV24" i="60"/>
  <c r="AU24" i="60"/>
  <c r="AT24" i="60"/>
  <c r="AY23" i="60"/>
  <c r="AX23" i="60"/>
  <c r="AW23" i="60"/>
  <c r="AV23" i="60"/>
  <c r="AU23" i="60"/>
  <c r="AT23" i="60"/>
  <c r="AS23" i="60"/>
  <c r="AY22" i="60"/>
  <c r="AX22" i="60"/>
  <c r="AW22" i="60"/>
  <c r="AV22" i="60"/>
  <c r="AU22" i="60"/>
  <c r="AT22" i="60"/>
  <c r="AS22" i="60"/>
  <c r="AY20" i="60"/>
  <c r="AX20" i="60"/>
  <c r="AW20" i="60"/>
  <c r="AV20" i="60"/>
  <c r="AU20" i="60"/>
  <c r="AT20" i="60"/>
  <c r="AS20" i="60"/>
  <c r="AY19" i="60"/>
  <c r="AX19" i="60"/>
  <c r="AW19" i="60"/>
  <c r="AV19" i="60"/>
  <c r="AU19" i="60"/>
  <c r="AT19" i="60"/>
  <c r="AS19" i="60"/>
  <c r="AY18" i="60"/>
  <c r="AX18" i="60"/>
  <c r="AW18" i="60"/>
  <c r="AV18" i="60"/>
  <c r="AU18" i="60"/>
  <c r="AT18" i="60"/>
  <c r="AS18" i="60"/>
  <c r="AS12" i="60"/>
  <c r="AT12" i="60"/>
  <c r="AU12" i="60"/>
  <c r="AV12" i="60"/>
  <c r="AW12" i="60"/>
  <c r="AX12" i="60"/>
  <c r="AY12" i="60"/>
  <c r="AS13" i="60"/>
  <c r="AT13" i="60"/>
  <c r="AU13" i="60"/>
  <c r="AV13" i="60"/>
  <c r="AW13" i="60"/>
  <c r="AX13" i="60"/>
  <c r="AY13" i="60"/>
  <c r="AT11" i="60"/>
  <c r="AU11" i="60"/>
  <c r="AV11" i="60"/>
  <c r="AW11" i="60"/>
  <c r="AX11" i="60"/>
  <c r="AY11" i="60"/>
  <c r="AS11" i="60"/>
  <c r="AR21" i="60"/>
  <c r="AQ21" i="60"/>
  <c r="AP21" i="60"/>
  <c r="AO21" i="60"/>
  <c r="AN21" i="60"/>
  <c r="AM21" i="60"/>
  <c r="AL21" i="60"/>
  <c r="AR31" i="60"/>
  <c r="AQ31" i="60"/>
  <c r="AP31" i="60"/>
  <c r="AO31" i="60"/>
  <c r="AN31" i="60"/>
  <c r="AM31" i="60"/>
  <c r="AL31" i="60"/>
  <c r="AR30" i="60"/>
  <c r="AQ30" i="60"/>
  <c r="AP30" i="60"/>
  <c r="AO30" i="60"/>
  <c r="AN30" i="60"/>
  <c r="AM30" i="60"/>
  <c r="AL30" i="60"/>
  <c r="AR29" i="60"/>
  <c r="AQ29" i="60"/>
  <c r="AP29" i="60"/>
  <c r="AO29" i="60"/>
  <c r="AN29" i="60"/>
  <c r="AM29" i="60"/>
  <c r="AL29" i="60"/>
  <c r="AR14" i="60"/>
  <c r="AQ14" i="60"/>
  <c r="AP14" i="60"/>
  <c r="AO14" i="60"/>
  <c r="AN14" i="60"/>
  <c r="AM14" i="60"/>
  <c r="AL14" i="60"/>
  <c r="AK21" i="60"/>
  <c r="AJ21" i="60"/>
  <c r="AI21" i="60"/>
  <c r="AH21" i="60"/>
  <c r="AG21" i="60"/>
  <c r="AF21" i="60"/>
  <c r="AE21" i="60"/>
  <c r="AK31" i="60"/>
  <c r="AJ31" i="60"/>
  <c r="AI31" i="60"/>
  <c r="AH31" i="60"/>
  <c r="AG31" i="60"/>
  <c r="AF31" i="60"/>
  <c r="AK30" i="60"/>
  <c r="AJ30" i="60"/>
  <c r="AI30" i="60"/>
  <c r="AH30" i="60"/>
  <c r="AG30" i="60"/>
  <c r="AE30" i="60"/>
  <c r="AK29" i="60"/>
  <c r="AJ29" i="60"/>
  <c r="AI29" i="60"/>
  <c r="AH29" i="60"/>
  <c r="AG29" i="60"/>
  <c r="AF29" i="60"/>
  <c r="AE29" i="60"/>
  <c r="AK14" i="60"/>
  <c r="AJ14" i="60"/>
  <c r="AI14" i="60"/>
  <c r="AH14" i="60"/>
  <c r="AG14" i="60"/>
  <c r="AF14" i="60"/>
  <c r="AE14" i="60"/>
  <c r="D23" i="46"/>
  <c r="C32" i="48"/>
  <c r="D32" i="48"/>
  <c r="E32" i="48"/>
  <c r="F32" i="48"/>
  <c r="G32" i="48"/>
  <c r="H32" i="48"/>
  <c r="C33" i="48"/>
  <c r="D33" i="48"/>
  <c r="E33" i="48"/>
  <c r="F33" i="48"/>
  <c r="G33" i="48"/>
  <c r="H33" i="48"/>
  <c r="C8" i="48"/>
  <c r="C19" i="48" s="1"/>
  <c r="B8" i="48"/>
  <c r="B17" i="47"/>
  <c r="K23" i="46"/>
  <c r="AS21" i="60" l="1"/>
  <c r="X261" i="50"/>
  <c r="R238" i="50"/>
  <c r="R260" i="50" s="1"/>
  <c r="X244" i="50"/>
  <c r="W266" i="50"/>
  <c r="AH32" i="60"/>
  <c r="I266" i="50"/>
  <c r="Q260" i="50"/>
  <c r="K222" i="50"/>
  <c r="J222" i="50"/>
  <c r="J244" i="50" s="1"/>
  <c r="AO32" i="60"/>
  <c r="AG32" i="60"/>
  <c r="AK32" i="60"/>
  <c r="AN32" i="60"/>
  <c r="AR32" i="60"/>
  <c r="R239" i="50"/>
  <c r="R261" i="50" s="1"/>
  <c r="Q261" i="50"/>
  <c r="K239" i="50"/>
  <c r="K261" i="50" s="1"/>
  <c r="J261" i="50"/>
  <c r="K238" i="50"/>
  <c r="K260" i="50" s="1"/>
  <c r="J260" i="50"/>
  <c r="AE32" i="60"/>
  <c r="AI32" i="60"/>
  <c r="AL32" i="60"/>
  <c r="AP32" i="60"/>
  <c r="AF32" i="60"/>
  <c r="AJ32" i="60"/>
  <c r="AM32" i="60"/>
  <c r="AQ32" i="60"/>
  <c r="AM35" i="60"/>
  <c r="AM33" i="60"/>
  <c r="AO35" i="60"/>
  <c r="AO33" i="60"/>
  <c r="AQ35" i="60"/>
  <c r="AQ33" i="60"/>
  <c r="AL36" i="60"/>
  <c r="AL34" i="60"/>
  <c r="AN36" i="60"/>
  <c r="AN34" i="60"/>
  <c r="AP36" i="60"/>
  <c r="AP34" i="60"/>
  <c r="AR36" i="60"/>
  <c r="AR34" i="60"/>
  <c r="AL35" i="60"/>
  <c r="AL33" i="60"/>
  <c r="AN35" i="60"/>
  <c r="AN33" i="60"/>
  <c r="AP35" i="60"/>
  <c r="AP33" i="60"/>
  <c r="AR35" i="60"/>
  <c r="AR33" i="60"/>
  <c r="AM36" i="60"/>
  <c r="AM34" i="60"/>
  <c r="AO36" i="60"/>
  <c r="AO34" i="60"/>
  <c r="AQ36" i="60"/>
  <c r="AQ34" i="60"/>
  <c r="AF35" i="60"/>
  <c r="AF33" i="60"/>
  <c r="AH35" i="60"/>
  <c r="AH33" i="60"/>
  <c r="AJ35" i="60"/>
  <c r="AJ33" i="60"/>
  <c r="AE36" i="60"/>
  <c r="AE34" i="60"/>
  <c r="AG36" i="60"/>
  <c r="AG34" i="60"/>
  <c r="AI36" i="60"/>
  <c r="AI34" i="60"/>
  <c r="AK36" i="60"/>
  <c r="AK34" i="60"/>
  <c r="AE35" i="60"/>
  <c r="AE33" i="60"/>
  <c r="AG35" i="60"/>
  <c r="AG33" i="60"/>
  <c r="AI35" i="60"/>
  <c r="AI33" i="60"/>
  <c r="AK35" i="60"/>
  <c r="AK33" i="60"/>
  <c r="AF36" i="60"/>
  <c r="AF34" i="60"/>
  <c r="AH36" i="60"/>
  <c r="AH34" i="60"/>
  <c r="AJ36" i="60"/>
  <c r="AJ34" i="60"/>
  <c r="X266" i="50" l="1"/>
  <c r="Y244" i="50"/>
  <c r="Y266" i="50" s="1"/>
  <c r="J266" i="50"/>
  <c r="K244" i="50"/>
  <c r="K266" i="50" s="1"/>
  <c r="C14" i="60"/>
  <c r="E111" i="1" s="1"/>
  <c r="E110" i="62" l="1"/>
  <c r="F102" i="62"/>
  <c r="M102" i="62"/>
  <c r="T102" i="62"/>
  <c r="U102" i="62" l="1"/>
  <c r="G102" i="62"/>
  <c r="N102" i="62"/>
  <c r="Z98" i="51"/>
  <c r="S98" i="51"/>
  <c r="L98" i="51"/>
  <c r="E101"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AE52" i="51"/>
  <c r="AF52" i="51"/>
  <c r="F110" i="62"/>
  <c r="M224" i="50"/>
  <c r="M246" i="50" s="1"/>
  <c r="M268" i="50" s="1"/>
  <c r="T224" i="50"/>
  <c r="T246" i="50" s="1"/>
  <c r="T268" i="50" s="1"/>
  <c r="E99" i="62"/>
  <c r="E50" i="62"/>
  <c r="S99" i="62"/>
  <c r="L99" i="62"/>
  <c r="I50" i="62"/>
  <c r="Y50" i="62"/>
  <c r="X50" i="62"/>
  <c r="W50" i="62"/>
  <c r="V50" i="62"/>
  <c r="U50" i="62"/>
  <c r="T50" i="62"/>
  <c r="S50" i="62"/>
  <c r="R50" i="62"/>
  <c r="Q50" i="62"/>
  <c r="P50" i="62"/>
  <c r="O50" i="62"/>
  <c r="N50" i="62"/>
  <c r="M50" i="62"/>
  <c r="L50" i="62"/>
  <c r="K50" i="62"/>
  <c r="J50" i="62"/>
  <c r="H50" i="62"/>
  <c r="G50" i="62"/>
  <c r="F50" i="62"/>
  <c r="N224" i="50" l="1"/>
  <c r="N246" i="50" s="1"/>
  <c r="O102" i="62"/>
  <c r="H102" i="62"/>
  <c r="V102" i="62"/>
  <c r="F224" i="50"/>
  <c r="F246" i="50" s="1"/>
  <c r="W102" i="62" l="1"/>
  <c r="I102" i="62"/>
  <c r="P102" i="62"/>
  <c r="U224" i="50"/>
  <c r="U246" i="50" s="1"/>
  <c r="O224" i="50"/>
  <c r="O246" i="50" s="1"/>
  <c r="N268" i="50"/>
  <c r="F268" i="50"/>
  <c r="G224" i="50"/>
  <c r="G246" i="50" s="1"/>
  <c r="E10" i="41"/>
  <c r="Q102" i="62" l="1"/>
  <c r="J102" i="62"/>
  <c r="X102" i="62"/>
  <c r="U268" i="50"/>
  <c r="P224" i="50"/>
  <c r="P246" i="50" s="1"/>
  <c r="O268" i="50"/>
  <c r="V224" i="50"/>
  <c r="V246" i="50" s="1"/>
  <c r="G268" i="50"/>
  <c r="H224" i="50"/>
  <c r="H246" i="50" s="1"/>
  <c r="E57" i="65"/>
  <c r="D57" i="65"/>
  <c r="E32" i="1"/>
  <c r="F32" i="1"/>
  <c r="G32" i="1"/>
  <c r="Y102" i="62" l="1"/>
  <c r="K102" i="62"/>
  <c r="R102" i="62"/>
  <c r="P268" i="50"/>
  <c r="V268" i="50"/>
  <c r="W224" i="50"/>
  <c r="W246" i="50" s="1"/>
  <c r="R224" i="50"/>
  <c r="Q224" i="50"/>
  <c r="Q246" i="50" s="1"/>
  <c r="H268" i="50"/>
  <c r="I224" i="50"/>
  <c r="I246" i="50" s="1"/>
  <c r="R70" i="53"/>
  <c r="Q70" i="53"/>
  <c r="V70" i="53" s="1"/>
  <c r="J69" i="53"/>
  <c r="D69" i="53"/>
  <c r="C69" i="53"/>
  <c r="G69" i="53" s="1"/>
  <c r="J14" i="60"/>
  <c r="K14" i="60"/>
  <c r="L14" i="60"/>
  <c r="M14" i="60"/>
  <c r="N14" i="60"/>
  <c r="O14" i="60"/>
  <c r="P14" i="60"/>
  <c r="Q14" i="60"/>
  <c r="R14" i="60"/>
  <c r="S14" i="60"/>
  <c r="T14" i="60"/>
  <c r="U14" i="60"/>
  <c r="V14" i="60"/>
  <c r="W14" i="60"/>
  <c r="X14" i="60"/>
  <c r="Y14" i="60"/>
  <c r="Z14" i="60"/>
  <c r="AA14" i="60"/>
  <c r="AB14" i="60"/>
  <c r="AC14" i="60"/>
  <c r="AD14" i="60"/>
  <c r="D14" i="60"/>
  <c r="F111" i="1" s="1"/>
  <c r="E14" i="60"/>
  <c r="G111" i="1" s="1"/>
  <c r="F14" i="60"/>
  <c r="H111" i="1" s="1"/>
  <c r="G14" i="60"/>
  <c r="I111" i="1" s="1"/>
  <c r="H14" i="60"/>
  <c r="J111" i="1" s="1"/>
  <c r="I14" i="60"/>
  <c r="K111" i="1" s="1"/>
  <c r="AX14" i="60" l="1"/>
  <c r="AT14" i="60"/>
  <c r="AW14" i="60"/>
  <c r="AS14" i="60"/>
  <c r="E69" i="53"/>
  <c r="R246" i="50"/>
  <c r="R268" i="50" s="1"/>
  <c r="Q268" i="50"/>
  <c r="W268" i="50"/>
  <c r="AY14" i="60"/>
  <c r="AU14" i="60"/>
  <c r="AV14" i="60"/>
  <c r="Y224" i="50"/>
  <c r="X224" i="50"/>
  <c r="X246" i="50" s="1"/>
  <c r="I268" i="50"/>
  <c r="K224" i="50"/>
  <c r="J224" i="50"/>
  <c r="J246" i="50" s="1"/>
  <c r="H69" i="53"/>
  <c r="I69" i="53"/>
  <c r="S70" i="53"/>
  <c r="T70" i="53"/>
  <c r="F69" i="53"/>
  <c r="W70" i="53"/>
  <c r="U70" i="53"/>
  <c r="X268" i="50" l="1"/>
  <c r="Y246" i="50"/>
  <c r="Y268" i="50" s="1"/>
  <c r="J268" i="50"/>
  <c r="K246" i="50"/>
  <c r="K268" i="50" s="1"/>
  <c r="F69" i="1"/>
  <c r="G69" i="1"/>
  <c r="H69" i="1"/>
  <c r="I69" i="1"/>
  <c r="J69" i="1"/>
  <c r="K69" i="1"/>
  <c r="E69" i="1"/>
  <c r="Q17" i="49" l="1"/>
  <c r="J17" i="49"/>
  <c r="C17" i="49"/>
  <c r="E31" i="51" l="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AE31" i="51"/>
  <c r="AF31" i="51"/>
  <c r="J56" i="53"/>
  <c r="K56" i="53"/>
  <c r="L56" i="53"/>
  <c r="M56" i="53"/>
  <c r="N56" i="53"/>
  <c r="O56" i="53"/>
  <c r="P56" i="53"/>
  <c r="Q56" i="53"/>
  <c r="R56" i="53"/>
  <c r="S56" i="53"/>
  <c r="T56" i="53"/>
  <c r="U56" i="53"/>
  <c r="V56" i="53"/>
  <c r="W56" i="53"/>
  <c r="R83" i="53" l="1"/>
  <c r="R82" i="53"/>
  <c r="R81" i="53"/>
  <c r="R80" i="53"/>
  <c r="R78" i="53"/>
  <c r="R77" i="53"/>
  <c r="R76" i="53"/>
  <c r="R75" i="53"/>
  <c r="R74" i="53"/>
  <c r="R73" i="53"/>
  <c r="R71" i="53"/>
  <c r="R69" i="53"/>
  <c r="R68" i="53"/>
  <c r="R67" i="53"/>
  <c r="R65" i="53"/>
  <c r="R64" i="53"/>
  <c r="R63" i="53"/>
  <c r="R62" i="53"/>
  <c r="R60" i="53"/>
  <c r="R59" i="53"/>
  <c r="R58" i="53"/>
  <c r="R52" i="53"/>
  <c r="R51" i="53"/>
  <c r="R50" i="53"/>
  <c r="R48" i="53"/>
  <c r="R47" i="53"/>
  <c r="R46" i="53"/>
  <c r="R45" i="53"/>
  <c r="R44" i="53"/>
  <c r="R43" i="53"/>
  <c r="R42" i="53"/>
  <c r="R41" i="53"/>
  <c r="R40" i="53"/>
  <c r="R39" i="53"/>
  <c r="R38" i="53"/>
  <c r="R37" i="53"/>
  <c r="R35" i="53"/>
  <c r="R34" i="53"/>
  <c r="R33" i="53"/>
  <c r="R32" i="53"/>
  <c r="R31" i="53"/>
  <c r="R29" i="53"/>
  <c r="R27" i="53"/>
  <c r="R26" i="53"/>
  <c r="R25" i="53"/>
  <c r="R23" i="53"/>
  <c r="R22" i="53"/>
  <c r="R21" i="53"/>
  <c r="R20" i="53"/>
  <c r="R19" i="53"/>
  <c r="R17" i="53"/>
  <c r="R14" i="53"/>
  <c r="R15" i="53"/>
  <c r="R16" i="53"/>
  <c r="R13" i="53"/>
  <c r="K83" i="53"/>
  <c r="K82" i="53"/>
  <c r="K81" i="53"/>
  <c r="K80" i="53"/>
  <c r="K78" i="53"/>
  <c r="K77" i="53"/>
  <c r="K76" i="53"/>
  <c r="K75" i="53"/>
  <c r="K74" i="53"/>
  <c r="K73" i="53"/>
  <c r="K71" i="53"/>
  <c r="K70" i="53"/>
  <c r="K69" i="53"/>
  <c r="K68" i="53"/>
  <c r="K67" i="53"/>
  <c r="K65" i="53"/>
  <c r="K64" i="53"/>
  <c r="K63" i="53"/>
  <c r="K62" i="53"/>
  <c r="K60" i="53"/>
  <c r="K59" i="53"/>
  <c r="K58" i="53"/>
  <c r="K52" i="53"/>
  <c r="K51" i="53"/>
  <c r="K50" i="53"/>
  <c r="K48" i="53"/>
  <c r="K47" i="53"/>
  <c r="K46" i="53"/>
  <c r="K45" i="53"/>
  <c r="K44" i="53"/>
  <c r="K43" i="53"/>
  <c r="K42" i="53"/>
  <c r="K41" i="53"/>
  <c r="K40" i="53"/>
  <c r="K39" i="53"/>
  <c r="K38" i="53"/>
  <c r="K37" i="53"/>
  <c r="K35" i="53"/>
  <c r="K34" i="53"/>
  <c r="K33" i="53"/>
  <c r="K32" i="53"/>
  <c r="K31" i="53"/>
  <c r="K29" i="53"/>
  <c r="K17" i="53"/>
  <c r="K26" i="53"/>
  <c r="K27" i="53"/>
  <c r="K25" i="53"/>
  <c r="K23" i="53"/>
  <c r="K20" i="53"/>
  <c r="K21" i="53"/>
  <c r="K22" i="53"/>
  <c r="K14" i="53"/>
  <c r="K15" i="53"/>
  <c r="K16" i="53"/>
  <c r="K19" i="53"/>
  <c r="K13" i="53"/>
  <c r="AB9" i="54"/>
  <c r="AB87" i="54" s="1"/>
  <c r="AB12" i="54"/>
  <c r="F96" i="53"/>
  <c r="G96" i="53"/>
  <c r="H96" i="53"/>
  <c r="I96" i="53"/>
  <c r="R100" i="53"/>
  <c r="S100" i="53"/>
  <c r="T100" i="53"/>
  <c r="U100" i="53"/>
  <c r="V100" i="53"/>
  <c r="W100" i="53"/>
  <c r="Q100" i="53"/>
  <c r="K97" i="53"/>
  <c r="L97" i="53"/>
  <c r="M97" i="53"/>
  <c r="N97" i="53"/>
  <c r="O97" i="53"/>
  <c r="P97" i="53"/>
  <c r="J97" i="53"/>
  <c r="D96" i="53"/>
  <c r="E96" i="53"/>
  <c r="C96" i="53"/>
  <c r="AB11" i="54" l="1"/>
  <c r="S18" i="17" l="1"/>
  <c r="R18" i="17"/>
  <c r="S17" i="17"/>
  <c r="R17" i="17"/>
  <c r="S16" i="17"/>
  <c r="R16" i="17"/>
  <c r="S11" i="17"/>
  <c r="R11" i="17"/>
  <c r="K11" i="17"/>
  <c r="L11" i="17"/>
  <c r="E11" i="17"/>
  <c r="D11" i="17"/>
  <c r="E8" i="17"/>
  <c r="L8" i="17" s="1"/>
  <c r="S8" i="17" s="1"/>
  <c r="D8" i="17"/>
  <c r="K8" i="17" s="1"/>
  <c r="R8" i="17" s="1"/>
  <c r="D9" i="20"/>
  <c r="E9" i="20"/>
  <c r="D7" i="20"/>
  <c r="E7" i="20"/>
  <c r="E22" i="17" l="1"/>
  <c r="D22" i="17"/>
  <c r="D80" i="53"/>
  <c r="D81" i="53"/>
  <c r="D82" i="53"/>
  <c r="D83" i="53"/>
  <c r="D73" i="53"/>
  <c r="D74" i="53"/>
  <c r="D75" i="53"/>
  <c r="D76" i="53"/>
  <c r="D77" i="53"/>
  <c r="D78" i="53"/>
  <c r="D70" i="53"/>
  <c r="D71" i="53"/>
  <c r="D67" i="53"/>
  <c r="D68" i="53"/>
  <c r="D62" i="53"/>
  <c r="D63" i="53"/>
  <c r="D64" i="53"/>
  <c r="D65" i="53"/>
  <c r="D58" i="53"/>
  <c r="D59" i="53"/>
  <c r="D60" i="53"/>
  <c r="D50" i="53"/>
  <c r="D51" i="53"/>
  <c r="D52" i="53"/>
  <c r="D37" i="53"/>
  <c r="D38" i="53"/>
  <c r="D39" i="53"/>
  <c r="D40" i="53"/>
  <c r="D41" i="53"/>
  <c r="D42" i="53"/>
  <c r="D43" i="53"/>
  <c r="D44" i="53"/>
  <c r="D45" i="53"/>
  <c r="D46" i="53"/>
  <c r="D47" i="53"/>
  <c r="D48" i="53"/>
  <c r="D31" i="53"/>
  <c r="D32" i="53"/>
  <c r="D33" i="53"/>
  <c r="D34" i="53"/>
  <c r="D35" i="53"/>
  <c r="D29" i="53"/>
  <c r="D25" i="53"/>
  <c r="D26" i="53"/>
  <c r="D27" i="53"/>
  <c r="D19" i="53"/>
  <c r="D20" i="53"/>
  <c r="D21" i="53"/>
  <c r="D22" i="53"/>
  <c r="D23" i="53"/>
  <c r="D17" i="53"/>
  <c r="K17" i="39" s="1"/>
  <c r="D13" i="53"/>
  <c r="D14" i="53"/>
  <c r="D15" i="53"/>
  <c r="D16" i="53"/>
  <c r="D12" i="21"/>
  <c r="E12" i="21"/>
  <c r="D12" i="53" l="1"/>
  <c r="D18" i="53"/>
  <c r="AD21" i="60" l="1"/>
  <c r="AC21" i="60"/>
  <c r="AB21" i="60"/>
  <c r="AA21" i="60"/>
  <c r="Z21" i="60"/>
  <c r="Y21" i="60"/>
  <c r="W21" i="60"/>
  <c r="V21" i="60"/>
  <c r="U21" i="60"/>
  <c r="T21" i="60"/>
  <c r="S21" i="60"/>
  <c r="R21" i="60"/>
  <c r="P21" i="60"/>
  <c r="O21" i="60"/>
  <c r="N21" i="60"/>
  <c r="M21" i="60"/>
  <c r="L21" i="60"/>
  <c r="K21" i="60"/>
  <c r="I21" i="60"/>
  <c r="H21" i="60"/>
  <c r="G21" i="60"/>
  <c r="F21" i="60"/>
  <c r="E21" i="60"/>
  <c r="D21" i="60"/>
  <c r="X21" i="60"/>
  <c r="Q21" i="60"/>
  <c r="J21" i="60"/>
  <c r="E94" i="62"/>
  <c r="E80" i="62"/>
  <c r="E79" i="62" s="1"/>
  <c r="E74" i="62"/>
  <c r="E64" i="62"/>
  <c r="E61" i="62"/>
  <c r="Y45" i="62"/>
  <c r="X45" i="62"/>
  <c r="W45" i="62"/>
  <c r="V45" i="62"/>
  <c r="U45" i="62"/>
  <c r="T45" i="62"/>
  <c r="S45" i="62"/>
  <c r="R45" i="62"/>
  <c r="Q45" i="62"/>
  <c r="P45" i="62"/>
  <c r="O45" i="62"/>
  <c r="N45" i="62"/>
  <c r="M45" i="62"/>
  <c r="L45" i="62"/>
  <c r="K45" i="62"/>
  <c r="J45" i="62"/>
  <c r="I45" i="62"/>
  <c r="H45" i="62"/>
  <c r="G45" i="62"/>
  <c r="F45" i="62"/>
  <c r="E45" i="62"/>
  <c r="Y31" i="62"/>
  <c r="Y30" i="62" s="1"/>
  <c r="X31" i="62"/>
  <c r="X30" i="62" s="1"/>
  <c r="W31" i="62"/>
  <c r="W30" i="62" s="1"/>
  <c r="V31" i="62"/>
  <c r="V30" i="62" s="1"/>
  <c r="U31" i="62"/>
  <c r="U30" i="62" s="1"/>
  <c r="T31" i="62"/>
  <c r="T30" i="62" s="1"/>
  <c r="S31" i="62"/>
  <c r="S30" i="62" s="1"/>
  <c r="R31" i="62"/>
  <c r="R30" i="62" s="1"/>
  <c r="Q31" i="62"/>
  <c r="Q30" i="62" s="1"/>
  <c r="P31" i="62"/>
  <c r="P30" i="62" s="1"/>
  <c r="O31" i="62"/>
  <c r="O30" i="62" s="1"/>
  <c r="N31" i="62"/>
  <c r="N30" i="62" s="1"/>
  <c r="M31" i="62"/>
  <c r="M30" i="62" s="1"/>
  <c r="L31" i="62"/>
  <c r="L30" i="62" s="1"/>
  <c r="K31" i="62"/>
  <c r="K30" i="62" s="1"/>
  <c r="J31" i="62"/>
  <c r="J30" i="62" s="1"/>
  <c r="I31" i="62"/>
  <c r="I30" i="62" s="1"/>
  <c r="H31" i="62"/>
  <c r="H30" i="62" s="1"/>
  <c r="G31" i="62"/>
  <c r="G30" i="62" s="1"/>
  <c r="F31" i="62"/>
  <c r="F30" i="62" s="1"/>
  <c r="E31" i="62"/>
  <c r="E30" i="62" s="1"/>
  <c r="Y25" i="62"/>
  <c r="X25" i="62"/>
  <c r="W25" i="62"/>
  <c r="V25" i="62"/>
  <c r="U25" i="62"/>
  <c r="T25" i="62"/>
  <c r="S25" i="62"/>
  <c r="R25" i="62"/>
  <c r="Q25" i="62"/>
  <c r="P25" i="62"/>
  <c r="O25" i="62"/>
  <c r="N25" i="62"/>
  <c r="M25" i="62"/>
  <c r="L25" i="62"/>
  <c r="K25" i="62"/>
  <c r="J25" i="62"/>
  <c r="I25" i="62"/>
  <c r="H25" i="62"/>
  <c r="G25" i="62"/>
  <c r="F25" i="62"/>
  <c r="E25" i="62"/>
  <c r="Y22" i="62"/>
  <c r="X22" i="62"/>
  <c r="W22" i="62"/>
  <c r="V22" i="62"/>
  <c r="U22" i="62"/>
  <c r="T22" i="62"/>
  <c r="S22" i="62"/>
  <c r="R22" i="62"/>
  <c r="Q22" i="62"/>
  <c r="P22" i="62"/>
  <c r="O22" i="62"/>
  <c r="N22" i="62"/>
  <c r="M22" i="62"/>
  <c r="M18" i="62" s="1"/>
  <c r="L22" i="62"/>
  <c r="K22" i="62"/>
  <c r="J22" i="62"/>
  <c r="I22" i="62"/>
  <c r="I18" i="62" s="1"/>
  <c r="H22" i="62"/>
  <c r="G22" i="62"/>
  <c r="F22" i="62"/>
  <c r="E22" i="62"/>
  <c r="Y15" i="62"/>
  <c r="X15" i="62"/>
  <c r="W15" i="62"/>
  <c r="V15" i="62"/>
  <c r="U15" i="62"/>
  <c r="T15" i="62"/>
  <c r="S15" i="62"/>
  <c r="R15" i="62"/>
  <c r="Q15" i="62"/>
  <c r="P15" i="62"/>
  <c r="O15" i="62"/>
  <c r="N15" i="62"/>
  <c r="M15" i="62"/>
  <c r="L15" i="62"/>
  <c r="K15" i="62"/>
  <c r="J15" i="62"/>
  <c r="I15" i="62"/>
  <c r="H15" i="62"/>
  <c r="G15" i="62"/>
  <c r="F15" i="62"/>
  <c r="E15" i="62"/>
  <c r="Y12" i="62"/>
  <c r="X12" i="62"/>
  <c r="W12" i="62"/>
  <c r="V12" i="62"/>
  <c r="U12" i="62"/>
  <c r="T12" i="62"/>
  <c r="S12" i="62"/>
  <c r="R12" i="62"/>
  <c r="Q12" i="62"/>
  <c r="P12" i="62"/>
  <c r="O12" i="62"/>
  <c r="N12" i="62"/>
  <c r="M12" i="62"/>
  <c r="L12" i="62"/>
  <c r="K12" i="62"/>
  <c r="J12" i="62"/>
  <c r="I12" i="62"/>
  <c r="H12" i="62"/>
  <c r="G12" i="62"/>
  <c r="F12" i="62"/>
  <c r="E12" i="62"/>
  <c r="S68" i="50"/>
  <c r="L68" i="50"/>
  <c r="E35" i="41"/>
  <c r="F35" i="41"/>
  <c r="G35" i="41"/>
  <c r="H35" i="41"/>
  <c r="I35" i="41"/>
  <c r="J35" i="41"/>
  <c r="K35" i="41"/>
  <c r="E47" i="41"/>
  <c r="F47" i="41"/>
  <c r="G47" i="41"/>
  <c r="H47" i="41"/>
  <c r="I47" i="41"/>
  <c r="J47" i="41"/>
  <c r="K47" i="41"/>
  <c r="E56" i="41"/>
  <c r="E70" i="41" s="1"/>
  <c r="F56" i="41"/>
  <c r="F70" i="41" s="1"/>
  <c r="G56" i="41"/>
  <c r="G70" i="41" s="1"/>
  <c r="H56" i="41"/>
  <c r="H70" i="41" s="1"/>
  <c r="I56" i="41"/>
  <c r="I70" i="41" s="1"/>
  <c r="J56" i="41"/>
  <c r="J70" i="41" s="1"/>
  <c r="K56" i="41"/>
  <c r="K70" i="41" s="1"/>
  <c r="E59" i="41"/>
  <c r="E69" i="41" s="1"/>
  <c r="F59" i="41"/>
  <c r="F69" i="41" s="1"/>
  <c r="G59" i="41"/>
  <c r="G69" i="41" s="1"/>
  <c r="H59" i="41"/>
  <c r="H69" i="41" s="1"/>
  <c r="I59" i="41"/>
  <c r="I69" i="41" s="1"/>
  <c r="J59" i="41"/>
  <c r="J69" i="41" s="1"/>
  <c r="K59" i="41"/>
  <c r="K69" i="41" s="1"/>
  <c r="G10" i="41"/>
  <c r="K10" i="41"/>
  <c r="I10" i="41"/>
  <c r="H10" i="41"/>
  <c r="Q18" i="62" l="1"/>
  <c r="U18" i="62"/>
  <c r="Y18" i="62"/>
  <c r="E18" i="62"/>
  <c r="C30" i="47"/>
  <c r="C12" i="47"/>
  <c r="H30" i="47"/>
  <c r="H12" i="47"/>
  <c r="G12" i="47"/>
  <c r="G30" i="47"/>
  <c r="F30" i="47"/>
  <c r="F12" i="47"/>
  <c r="E30" i="47"/>
  <c r="E12" i="47"/>
  <c r="D30" i="47"/>
  <c r="D12" i="47"/>
  <c r="E81" i="41"/>
  <c r="F18" i="62"/>
  <c r="J18" i="62"/>
  <c r="J11" i="62" s="1"/>
  <c r="N18" i="62"/>
  <c r="R18" i="62"/>
  <c r="V18" i="62"/>
  <c r="M11" i="62"/>
  <c r="Q11" i="62"/>
  <c r="U11" i="62"/>
  <c r="Y11" i="62"/>
  <c r="E67" i="62"/>
  <c r="H18" i="62"/>
  <c r="L18" i="62"/>
  <c r="P18" i="62"/>
  <c r="T18" i="62"/>
  <c r="X18" i="62"/>
  <c r="G18" i="62"/>
  <c r="O18" i="62"/>
  <c r="S18" i="62"/>
  <c r="W18" i="62"/>
  <c r="K18" i="62"/>
  <c r="I11" i="62"/>
  <c r="F11" i="62"/>
  <c r="E11" i="62"/>
  <c r="G81" i="41"/>
  <c r="AW21" i="60"/>
  <c r="AY21" i="60"/>
  <c r="AU21" i="60"/>
  <c r="AV21" i="60"/>
  <c r="AX21" i="60"/>
  <c r="AT21" i="60"/>
  <c r="H68" i="41"/>
  <c r="G68" i="41"/>
  <c r="J10" i="41"/>
  <c r="J68" i="41" s="1"/>
  <c r="F10" i="41"/>
  <c r="F68" i="41" s="1"/>
  <c r="K68" i="41"/>
  <c r="I68" i="41"/>
  <c r="B6" i="48"/>
  <c r="C6" i="48"/>
  <c r="C41" i="48"/>
  <c r="B6" i="47"/>
  <c r="C6" i="47"/>
  <c r="C17" i="47"/>
  <c r="B37" i="47"/>
  <c r="C37" i="47"/>
  <c r="V11" i="62" l="1"/>
  <c r="N11" i="62"/>
  <c r="W11" i="62"/>
  <c r="O11" i="62"/>
  <c r="K11" i="62"/>
  <c r="G11" i="62"/>
  <c r="H11" i="62"/>
  <c r="R11" i="62"/>
  <c r="P11" i="62"/>
  <c r="L11" i="62"/>
  <c r="T11" i="62"/>
  <c r="X11" i="62"/>
  <c r="S11" i="62"/>
  <c r="B7" i="47"/>
  <c r="B38" i="48"/>
  <c r="B37" i="48" s="1"/>
  <c r="B20" i="48" s="1"/>
  <c r="C38" i="48"/>
  <c r="B45" i="48"/>
  <c r="B46" i="48" s="1"/>
  <c r="Q40" i="7" l="1"/>
  <c r="X17" i="60"/>
  <c r="Y17" i="60"/>
  <c r="Z17" i="60"/>
  <c r="AA17" i="60"/>
  <c r="AB17" i="60"/>
  <c r="AC17" i="60"/>
  <c r="AD17" i="60"/>
  <c r="X16" i="60"/>
  <c r="Y16" i="60"/>
  <c r="Z16" i="60"/>
  <c r="AA16" i="60"/>
  <c r="AB16" i="60"/>
  <c r="AC16" i="60"/>
  <c r="AD16" i="60"/>
  <c r="AD15" i="60"/>
  <c r="AD29" i="60" s="1"/>
  <c r="X15" i="60"/>
  <c r="X29" i="60" s="1"/>
  <c r="Y15" i="60"/>
  <c r="Y29" i="60" s="1"/>
  <c r="Z15" i="60"/>
  <c r="Z29" i="60" s="1"/>
  <c r="AA15" i="60"/>
  <c r="AA29" i="60" s="1"/>
  <c r="AB15" i="60"/>
  <c r="AB29" i="60" s="1"/>
  <c r="AC15" i="60"/>
  <c r="AC29" i="60" s="1"/>
  <c r="T16" i="17"/>
  <c r="U16" i="17"/>
  <c r="V16" i="17"/>
  <c r="W16" i="17"/>
  <c r="X16" i="17"/>
  <c r="T17" i="17"/>
  <c r="U17" i="17"/>
  <c r="V17" i="17"/>
  <c r="W17" i="17"/>
  <c r="X17" i="17"/>
  <c r="T18" i="17"/>
  <c r="U18" i="17"/>
  <c r="V18" i="17"/>
  <c r="W18" i="17"/>
  <c r="X18" i="17"/>
  <c r="L62" i="41" l="1"/>
  <c r="AA62" i="41" s="1"/>
  <c r="L67" i="41"/>
  <c r="AA67" i="41" s="1"/>
  <c r="L66" i="41"/>
  <c r="AA66" i="41" s="1"/>
  <c r="L65" i="41"/>
  <c r="L64" i="41"/>
  <c r="AA64" i="41" s="1"/>
  <c r="L63" i="41"/>
  <c r="AA63" i="41" s="1"/>
  <c r="L61" i="41"/>
  <c r="AA61" i="41" s="1"/>
  <c r="L60" i="41"/>
  <c r="AA60" i="41" s="1"/>
  <c r="L58" i="41"/>
  <c r="AA58" i="41" s="1"/>
  <c r="L57" i="41"/>
  <c r="AA57" i="41" s="1"/>
  <c r="L55" i="41"/>
  <c r="AA55" i="41" s="1"/>
  <c r="L54" i="41"/>
  <c r="AA54" i="41" s="1"/>
  <c r="L53" i="41"/>
  <c r="AA53" i="41" s="1"/>
  <c r="L52" i="41"/>
  <c r="AA52" i="41" s="1"/>
  <c r="L51" i="41"/>
  <c r="AA51" i="41" s="1"/>
  <c r="L50" i="41"/>
  <c r="AA50" i="41" s="1"/>
  <c r="L49" i="41"/>
  <c r="L48" i="41"/>
  <c r="L37" i="41"/>
  <c r="AA37" i="41" s="1"/>
  <c r="L38" i="41"/>
  <c r="AA38" i="41" s="1"/>
  <c r="L39" i="41"/>
  <c r="AA39" i="41" s="1"/>
  <c r="L40" i="41"/>
  <c r="AA40" i="41" s="1"/>
  <c r="L41" i="41"/>
  <c r="AA41" i="41" s="1"/>
  <c r="L42" i="41"/>
  <c r="AA42" i="41" s="1"/>
  <c r="L43" i="41"/>
  <c r="AA43" i="41" s="1"/>
  <c r="L44" i="41"/>
  <c r="AA44" i="41" s="1"/>
  <c r="L45" i="41"/>
  <c r="AA45" i="41" s="1"/>
  <c r="L46" i="41"/>
  <c r="AA46" i="41" s="1"/>
  <c r="L36" i="41"/>
  <c r="AA36" i="41" s="1"/>
  <c r="L12" i="41"/>
  <c r="AA12" i="41" s="1"/>
  <c r="L13" i="41"/>
  <c r="AA13" i="41" s="1"/>
  <c r="L14" i="41"/>
  <c r="AA14" i="41" s="1"/>
  <c r="L15" i="41"/>
  <c r="AA15" i="41" s="1"/>
  <c r="L16" i="41"/>
  <c r="AA16" i="41" s="1"/>
  <c r="L17" i="41"/>
  <c r="AA17" i="41" s="1"/>
  <c r="L18" i="41"/>
  <c r="AA18" i="41" s="1"/>
  <c r="L19" i="41"/>
  <c r="AA19" i="41" s="1"/>
  <c r="L20" i="41"/>
  <c r="AA20" i="41" s="1"/>
  <c r="L21" i="41"/>
  <c r="AA21" i="41" s="1"/>
  <c r="L22" i="41"/>
  <c r="AA22" i="41" s="1"/>
  <c r="L23" i="41"/>
  <c r="AA23" i="41" s="1"/>
  <c r="L24" i="41"/>
  <c r="AA24" i="41" s="1"/>
  <c r="L25" i="41"/>
  <c r="AA25" i="41" s="1"/>
  <c r="L26" i="41"/>
  <c r="AA26" i="41" s="1"/>
  <c r="L27" i="41"/>
  <c r="AA27" i="41" s="1"/>
  <c r="L28" i="41"/>
  <c r="AA28" i="41" s="1"/>
  <c r="L29" i="41"/>
  <c r="AA29" i="41" s="1"/>
  <c r="L30" i="41"/>
  <c r="AA30" i="41" s="1"/>
  <c r="L31" i="41"/>
  <c r="AA31" i="41" s="1"/>
  <c r="L32" i="41"/>
  <c r="AA32" i="41" s="1"/>
  <c r="L33" i="41"/>
  <c r="AA33" i="41" s="1"/>
  <c r="L34" i="41"/>
  <c r="AA34" i="41" s="1"/>
  <c r="L11" i="41"/>
  <c r="AA11" i="41" s="1"/>
  <c r="K9" i="41"/>
  <c r="S9" i="41" s="1"/>
  <c r="Z9" i="41" s="1"/>
  <c r="J9" i="41"/>
  <c r="AJ9" i="41" s="1"/>
  <c r="I9" i="41"/>
  <c r="Q9" i="41" s="1"/>
  <c r="X9" i="41" s="1"/>
  <c r="H9" i="41"/>
  <c r="P9" i="41" s="1"/>
  <c r="W9" i="41" s="1"/>
  <c r="G9" i="41"/>
  <c r="O9" i="41" s="1"/>
  <c r="V9" i="41" s="1"/>
  <c r="F9" i="41"/>
  <c r="AF9" i="41" s="1"/>
  <c r="E9" i="41"/>
  <c r="M9" i="41" s="1"/>
  <c r="T9" i="41" s="1"/>
  <c r="AA48" i="41" l="1"/>
  <c r="AA49" i="41"/>
  <c r="AA65" i="41"/>
  <c r="AH9" i="41"/>
  <c r="R9" i="41"/>
  <c r="Y9" i="41" s="1"/>
  <c r="N9" i="41"/>
  <c r="U9" i="41" s="1"/>
  <c r="AE9" i="41"/>
  <c r="AI9" i="41"/>
  <c r="AG9" i="41"/>
  <c r="AK9" i="41"/>
  <c r="E48" i="46" l="1"/>
  <c r="F48" i="46"/>
  <c r="G48" i="46"/>
  <c r="H48" i="46"/>
  <c r="I48" i="46"/>
  <c r="J48" i="46"/>
  <c r="K48" i="46"/>
  <c r="L48" i="46"/>
  <c r="M48" i="46"/>
  <c r="N48" i="46"/>
  <c r="O48" i="46"/>
  <c r="P48" i="46"/>
  <c r="Q48" i="46"/>
  <c r="D48" i="46"/>
  <c r="E36" i="46"/>
  <c r="F36" i="46"/>
  <c r="G36" i="46"/>
  <c r="H36" i="46"/>
  <c r="I36" i="46"/>
  <c r="J36" i="46"/>
  <c r="K36" i="46"/>
  <c r="L36" i="46"/>
  <c r="M36" i="46"/>
  <c r="N36" i="46"/>
  <c r="O36" i="46"/>
  <c r="P36" i="46"/>
  <c r="Q36" i="46"/>
  <c r="D36" i="46"/>
  <c r="E23" i="46"/>
  <c r="F23" i="46"/>
  <c r="G23" i="46"/>
  <c r="H23" i="46"/>
  <c r="I23" i="46"/>
  <c r="J23" i="46"/>
  <c r="L23" i="46"/>
  <c r="M23" i="46"/>
  <c r="N23" i="46"/>
  <c r="O23" i="46"/>
  <c r="P23" i="46"/>
  <c r="Q23" i="46"/>
  <c r="J7" i="46"/>
  <c r="Q7" i="46" s="1"/>
  <c r="I7" i="46"/>
  <c r="P7" i="46" s="1"/>
  <c r="H7" i="46"/>
  <c r="O7" i="46" s="1"/>
  <c r="G7" i="46"/>
  <c r="N7" i="46" s="1"/>
  <c r="F7" i="46"/>
  <c r="M7" i="46" s="1"/>
  <c r="E7" i="46"/>
  <c r="L7" i="46" s="1"/>
  <c r="D7" i="46"/>
  <c r="K7" i="46" s="1"/>
  <c r="W52" i="39"/>
  <c r="V52" i="39"/>
  <c r="U52" i="39"/>
  <c r="T52" i="39"/>
  <c r="S52" i="39"/>
  <c r="R52" i="39"/>
  <c r="Q52" i="39"/>
  <c r="W51" i="39"/>
  <c r="V51" i="39"/>
  <c r="U51" i="39"/>
  <c r="T51" i="39"/>
  <c r="S51" i="39"/>
  <c r="R51" i="39"/>
  <c r="Q51" i="39"/>
  <c r="W36" i="39"/>
  <c r="V36" i="39"/>
  <c r="U36" i="39"/>
  <c r="T36" i="39"/>
  <c r="S36" i="39"/>
  <c r="R36" i="39"/>
  <c r="Q36" i="39"/>
  <c r="W35" i="39"/>
  <c r="V35" i="39"/>
  <c r="U35" i="39"/>
  <c r="T35" i="39"/>
  <c r="S35" i="39"/>
  <c r="R35" i="39"/>
  <c r="Q35" i="39"/>
  <c r="W34" i="39"/>
  <c r="V34" i="39"/>
  <c r="U34" i="39"/>
  <c r="T34" i="39"/>
  <c r="S34" i="39"/>
  <c r="R34" i="39"/>
  <c r="Q34" i="39"/>
  <c r="W24" i="39"/>
  <c r="V24" i="39"/>
  <c r="U24" i="39"/>
  <c r="T24" i="39"/>
  <c r="S24" i="39"/>
  <c r="R24" i="39"/>
  <c r="Q24" i="39"/>
  <c r="W23" i="39"/>
  <c r="V23" i="39"/>
  <c r="U23" i="39"/>
  <c r="T23" i="39"/>
  <c r="S23" i="39"/>
  <c r="R23" i="39"/>
  <c r="Q23" i="39"/>
  <c r="W22" i="39"/>
  <c r="V22" i="39"/>
  <c r="U22" i="39"/>
  <c r="T22" i="39"/>
  <c r="S22" i="39"/>
  <c r="R22" i="39"/>
  <c r="Q22" i="39"/>
  <c r="W11" i="39"/>
  <c r="V11" i="39"/>
  <c r="U11" i="39"/>
  <c r="T11" i="39"/>
  <c r="S11" i="39"/>
  <c r="R11" i="39"/>
  <c r="Q11" i="39"/>
  <c r="W10" i="39"/>
  <c r="V10" i="39"/>
  <c r="U10" i="39"/>
  <c r="T10" i="39"/>
  <c r="S10" i="39"/>
  <c r="R10" i="39"/>
  <c r="Q10" i="39"/>
  <c r="W9" i="39"/>
  <c r="V9" i="39"/>
  <c r="U9" i="39"/>
  <c r="T9" i="39"/>
  <c r="S9" i="39"/>
  <c r="R9" i="39"/>
  <c r="Q9" i="39"/>
  <c r="E98" i="53" l="1"/>
  <c r="H98" i="53"/>
  <c r="D98" i="53"/>
  <c r="I98" i="53"/>
  <c r="G98" i="53"/>
  <c r="C98" i="53"/>
  <c r="F98" i="53"/>
  <c r="H7" i="1"/>
  <c r="F96" i="1"/>
  <c r="G96" i="1"/>
  <c r="H96" i="1"/>
  <c r="I96" i="1"/>
  <c r="J96" i="1"/>
  <c r="K96" i="1"/>
  <c r="E96" i="1"/>
  <c r="F31" i="2" l="1"/>
  <c r="G31" i="2"/>
  <c r="H31" i="2"/>
  <c r="I31" i="2"/>
  <c r="J31" i="2"/>
  <c r="K31" i="2"/>
  <c r="E31" i="2"/>
  <c r="F30" i="2"/>
  <c r="G30" i="2"/>
  <c r="H30" i="2"/>
  <c r="I30" i="2"/>
  <c r="J30" i="2"/>
  <c r="K30" i="2"/>
  <c r="E30" i="2"/>
  <c r="K7" i="1"/>
  <c r="R7" i="1" s="1"/>
  <c r="T7" i="1" s="1"/>
  <c r="J7" i="1"/>
  <c r="Q7" i="1" s="1"/>
  <c r="I7" i="1"/>
  <c r="P7" i="1" s="1"/>
  <c r="O7" i="1"/>
  <c r="G7" i="1"/>
  <c r="N7" i="1" s="1"/>
  <c r="F7" i="1"/>
  <c r="M7" i="1" s="1"/>
  <c r="E7" i="1"/>
  <c r="L7" i="1" s="1"/>
  <c r="S7" i="1" s="1"/>
  <c r="F19" i="2"/>
  <c r="G19" i="2"/>
  <c r="H19" i="2"/>
  <c r="I19" i="2"/>
  <c r="J19" i="2"/>
  <c r="K19" i="2"/>
  <c r="E19" i="2"/>
  <c r="F14" i="2" l="1"/>
  <c r="G14" i="2"/>
  <c r="H14" i="2"/>
  <c r="I14" i="2"/>
  <c r="J14" i="2"/>
  <c r="K14" i="2"/>
  <c r="E14" i="2"/>
  <c r="F15" i="2"/>
  <c r="G15" i="2"/>
  <c r="H15" i="2"/>
  <c r="I15" i="2"/>
  <c r="J15" i="2"/>
  <c r="K15" i="2"/>
  <c r="E15" i="2"/>
  <c r="Y215" i="50" l="1"/>
  <c r="Y219" i="50"/>
  <c r="Y225" i="50"/>
  <c r="Y229" i="50"/>
  <c r="R215" i="50"/>
  <c r="R219" i="50"/>
  <c r="R225" i="50"/>
  <c r="R229" i="50"/>
  <c r="R233" i="50"/>
  <c r="R214" i="50"/>
  <c r="K215" i="50"/>
  <c r="F219" i="50"/>
  <c r="F220" i="50"/>
  <c r="F221" i="50"/>
  <c r="F243" i="50" s="1"/>
  <c r="F223" i="50"/>
  <c r="F245" i="50" s="1"/>
  <c r="F225" i="50"/>
  <c r="F247" i="50" s="1"/>
  <c r="F226" i="50"/>
  <c r="F248" i="50" s="1"/>
  <c r="F227" i="50"/>
  <c r="F249" i="50" s="1"/>
  <c r="F229" i="50"/>
  <c r="F251" i="50" s="1"/>
  <c r="F230" i="50"/>
  <c r="F252" i="50" s="1"/>
  <c r="F231" i="50"/>
  <c r="F253" i="50" s="1"/>
  <c r="F233" i="50"/>
  <c r="F255" i="50" s="1"/>
  <c r="F234" i="50"/>
  <c r="F62" i="62"/>
  <c r="F270" i="50" l="1"/>
  <c r="F277" i="50"/>
  <c r="F275" i="50"/>
  <c r="F273" i="50"/>
  <c r="F271" i="50"/>
  <c r="F269" i="50"/>
  <c r="F274" i="50"/>
  <c r="F267" i="50"/>
  <c r="F154" i="62"/>
  <c r="N229" i="50"/>
  <c r="H231" i="50"/>
  <c r="G219" i="50"/>
  <c r="M214" i="50"/>
  <c r="W229" i="50"/>
  <c r="P233" i="50"/>
  <c r="U225" i="50"/>
  <c r="Q214" i="50"/>
  <c r="N233" i="50"/>
  <c r="P219" i="50"/>
  <c r="U229" i="50"/>
  <c r="O214" i="50"/>
  <c r="P225" i="50"/>
  <c r="N219" i="50"/>
  <c r="W219" i="50"/>
  <c r="G221" i="50"/>
  <c r="P229" i="50"/>
  <c r="N225" i="50"/>
  <c r="W225" i="50"/>
  <c r="U219" i="50"/>
  <c r="G214" i="50"/>
  <c r="H229" i="50"/>
  <c r="M232" i="50"/>
  <c r="M223" i="50"/>
  <c r="M245" i="50" s="1"/>
  <c r="M218" i="50"/>
  <c r="T228" i="50"/>
  <c r="T250" i="50" s="1"/>
  <c r="T223" i="50"/>
  <c r="T245" i="50" s="1"/>
  <c r="T218" i="50"/>
  <c r="F232" i="50"/>
  <c r="F254" i="50" s="1"/>
  <c r="F228" i="50"/>
  <c r="F250" i="50" s="1"/>
  <c r="F218" i="50"/>
  <c r="M234" i="50"/>
  <c r="M230" i="50"/>
  <c r="M252" i="50" s="1"/>
  <c r="M226" i="50"/>
  <c r="M248" i="50" s="1"/>
  <c r="M220" i="50"/>
  <c r="T234" i="50"/>
  <c r="T230" i="50"/>
  <c r="T252" i="50" s="1"/>
  <c r="T226" i="50"/>
  <c r="T248" i="50" s="1"/>
  <c r="T220" i="50"/>
  <c r="F214" i="50"/>
  <c r="G229" i="50"/>
  <c r="G251" i="50" s="1"/>
  <c r="T214" i="50"/>
  <c r="U214" i="50"/>
  <c r="M228" i="50"/>
  <c r="M250" i="50" s="1"/>
  <c r="T232" i="50"/>
  <c r="M231" i="50"/>
  <c r="M253" i="50" s="1"/>
  <c r="M227" i="50"/>
  <c r="M249" i="50" s="1"/>
  <c r="M221" i="50"/>
  <c r="T231" i="50"/>
  <c r="T253" i="50" s="1"/>
  <c r="T227" i="50"/>
  <c r="T249" i="50" s="1"/>
  <c r="T221" i="50"/>
  <c r="N214" i="50"/>
  <c r="Q233" i="50"/>
  <c r="M233" i="50"/>
  <c r="Q229" i="50"/>
  <c r="M229" i="50"/>
  <c r="M251" i="50" s="1"/>
  <c r="Q225" i="50"/>
  <c r="M225" i="50"/>
  <c r="M247" i="50" s="1"/>
  <c r="Q219" i="50"/>
  <c r="M219" i="50"/>
  <c r="X229" i="50"/>
  <c r="T229" i="50"/>
  <c r="T251" i="50" s="1"/>
  <c r="X225" i="50"/>
  <c r="T225" i="50"/>
  <c r="T247" i="50" s="1"/>
  <c r="X219" i="50"/>
  <c r="T219" i="50"/>
  <c r="P214" i="50"/>
  <c r="O233" i="50"/>
  <c r="O229" i="50"/>
  <c r="O225" i="50"/>
  <c r="O219" i="50"/>
  <c r="V229" i="50"/>
  <c r="V225" i="50"/>
  <c r="V219" i="50"/>
  <c r="W215" i="50"/>
  <c r="U215" i="50"/>
  <c r="X215" i="50"/>
  <c r="V215" i="50"/>
  <c r="T215" i="50"/>
  <c r="P215" i="50"/>
  <c r="N215" i="50"/>
  <c r="Q215" i="50"/>
  <c r="O215" i="50"/>
  <c r="M215" i="50"/>
  <c r="I215" i="50"/>
  <c r="G215" i="50"/>
  <c r="J215" i="50"/>
  <c r="H215" i="50"/>
  <c r="F215" i="50"/>
  <c r="G231" i="50" l="1"/>
  <c r="G253" i="50" s="1"/>
  <c r="H253" i="50" s="1"/>
  <c r="H251" i="50"/>
  <c r="G273" i="50"/>
  <c r="T271" i="50"/>
  <c r="T275" i="50"/>
  <c r="M271" i="50"/>
  <c r="M275" i="50"/>
  <c r="T270" i="50"/>
  <c r="T274" i="50"/>
  <c r="M270" i="50"/>
  <c r="M274" i="50"/>
  <c r="T267" i="50"/>
  <c r="T272" i="50"/>
  <c r="M267" i="50"/>
  <c r="U247" i="50"/>
  <c r="T269" i="50"/>
  <c r="U251" i="50"/>
  <c r="T273" i="50"/>
  <c r="N247" i="50"/>
  <c r="M269" i="50"/>
  <c r="N251" i="50"/>
  <c r="M273" i="50"/>
  <c r="M272" i="50"/>
  <c r="F272" i="50"/>
  <c r="F276" i="50"/>
  <c r="H221" i="50"/>
  <c r="U221" i="50"/>
  <c r="U231" i="50"/>
  <c r="U253" i="50" s="1"/>
  <c r="N227" i="50"/>
  <c r="N249" i="50" s="1"/>
  <c r="G230" i="50"/>
  <c r="G252" i="50" s="1"/>
  <c r="U220" i="50"/>
  <c r="U230" i="50"/>
  <c r="U252" i="50" s="1"/>
  <c r="N220" i="50"/>
  <c r="N230" i="50"/>
  <c r="N252" i="50" s="1"/>
  <c r="G234" i="50"/>
  <c r="U223" i="50"/>
  <c r="U245" i="50" s="1"/>
  <c r="N218" i="50"/>
  <c r="N232" i="50"/>
  <c r="I231" i="50"/>
  <c r="N228" i="50"/>
  <c r="N250" i="50" s="1"/>
  <c r="G220" i="50"/>
  <c r="G218" i="50"/>
  <c r="G228" i="50"/>
  <c r="G250" i="50" s="1"/>
  <c r="H219" i="50"/>
  <c r="U227" i="50"/>
  <c r="U249" i="50" s="1"/>
  <c r="N221" i="50"/>
  <c r="N231" i="50"/>
  <c r="N253" i="50" s="1"/>
  <c r="G227" i="50"/>
  <c r="G249" i="50" s="1"/>
  <c r="U226" i="50"/>
  <c r="U248" i="50" s="1"/>
  <c r="U234" i="50"/>
  <c r="N226" i="50"/>
  <c r="N248" i="50" s="1"/>
  <c r="N234" i="50"/>
  <c r="U218" i="50"/>
  <c r="U228" i="50"/>
  <c r="U250" i="50" s="1"/>
  <c r="N223" i="50"/>
  <c r="N245" i="50" s="1"/>
  <c r="I229" i="50"/>
  <c r="H214" i="50"/>
  <c r="G226" i="50"/>
  <c r="G248" i="50" s="1"/>
  <c r="G225" i="50"/>
  <c r="G247" i="50" s="1"/>
  <c r="U232" i="50"/>
  <c r="V214" i="50"/>
  <c r="G233" i="50"/>
  <c r="G255" i="50" s="1"/>
  <c r="G223" i="50"/>
  <c r="G245" i="50" s="1"/>
  <c r="G232" i="50"/>
  <c r="G254" i="50" s="1"/>
  <c r="T154" i="62"/>
  <c r="S154" i="62"/>
  <c r="L154" i="62"/>
  <c r="E154" i="62"/>
  <c r="Y110" i="62"/>
  <c r="X110" i="62"/>
  <c r="W110" i="62"/>
  <c r="V110" i="62"/>
  <c r="U110" i="62"/>
  <c r="T110" i="62"/>
  <c r="S110" i="62"/>
  <c r="R110" i="62"/>
  <c r="Q110" i="62"/>
  <c r="P110" i="62"/>
  <c r="O110" i="62"/>
  <c r="N110" i="62"/>
  <c r="M110" i="62"/>
  <c r="L110" i="62"/>
  <c r="K110" i="62"/>
  <c r="J110" i="62"/>
  <c r="I110" i="62"/>
  <c r="H110" i="62"/>
  <c r="G110" i="62"/>
  <c r="G275" i="50" l="1"/>
  <c r="G276" i="50"/>
  <c r="N267" i="50"/>
  <c r="N270" i="50"/>
  <c r="N275" i="50"/>
  <c r="U271" i="50"/>
  <c r="N272" i="50"/>
  <c r="U267" i="50"/>
  <c r="N274" i="50"/>
  <c r="U274" i="50"/>
  <c r="N271" i="50"/>
  <c r="U275" i="50"/>
  <c r="U272" i="50"/>
  <c r="U270" i="50"/>
  <c r="G272" i="50"/>
  <c r="G277" i="50"/>
  <c r="G271" i="50"/>
  <c r="H275" i="50"/>
  <c r="I253" i="50"/>
  <c r="G267" i="50"/>
  <c r="G269" i="50"/>
  <c r="G270" i="50"/>
  <c r="G274" i="50"/>
  <c r="N273" i="50"/>
  <c r="O251" i="50"/>
  <c r="N269" i="50"/>
  <c r="O247" i="50"/>
  <c r="U273" i="50"/>
  <c r="V251" i="50"/>
  <c r="U269" i="50"/>
  <c r="V247" i="50"/>
  <c r="I251" i="50"/>
  <c r="H273" i="50"/>
  <c r="H226" i="50"/>
  <c r="H248" i="50" s="1"/>
  <c r="I219" i="50"/>
  <c r="H218" i="50"/>
  <c r="H230" i="50"/>
  <c r="H252" i="50" s="1"/>
  <c r="H223" i="50"/>
  <c r="H245" i="50" s="1"/>
  <c r="H233" i="50"/>
  <c r="H255" i="50" s="1"/>
  <c r="V232" i="50"/>
  <c r="J229" i="50"/>
  <c r="K229" i="50"/>
  <c r="V228" i="50"/>
  <c r="V250" i="50" s="1"/>
  <c r="O234" i="50"/>
  <c r="V234" i="50"/>
  <c r="H227" i="50"/>
  <c r="H249" i="50" s="1"/>
  <c r="O221" i="50"/>
  <c r="O228" i="50"/>
  <c r="O250" i="50" s="1"/>
  <c r="O232" i="50"/>
  <c r="V223" i="50"/>
  <c r="V245" i="50" s="1"/>
  <c r="O230" i="50"/>
  <c r="O252" i="50" s="1"/>
  <c r="V230" i="50"/>
  <c r="V252" i="50" s="1"/>
  <c r="V231" i="50"/>
  <c r="V253" i="50" s="1"/>
  <c r="I221" i="50"/>
  <c r="H225" i="50"/>
  <c r="H247" i="50" s="1"/>
  <c r="H228" i="50"/>
  <c r="H250" i="50" s="1"/>
  <c r="H220" i="50"/>
  <c r="H232" i="50"/>
  <c r="H254" i="50" s="1"/>
  <c r="W214" i="50"/>
  <c r="I214" i="50"/>
  <c r="O223" i="50"/>
  <c r="O245" i="50" s="1"/>
  <c r="V218" i="50"/>
  <c r="O226" i="50"/>
  <c r="O248" i="50" s="1"/>
  <c r="V226" i="50"/>
  <c r="V248" i="50" s="1"/>
  <c r="O231" i="50"/>
  <c r="O253" i="50" s="1"/>
  <c r="V227" i="50"/>
  <c r="V249" i="50" s="1"/>
  <c r="J231" i="50"/>
  <c r="K231" i="50"/>
  <c r="O218" i="50"/>
  <c r="H234" i="50"/>
  <c r="O220" i="50"/>
  <c r="V220" i="50"/>
  <c r="O227" i="50"/>
  <c r="O249" i="50" s="1"/>
  <c r="V221" i="50"/>
  <c r="V154" i="62"/>
  <c r="N154" i="62"/>
  <c r="M154" i="62"/>
  <c r="G154" i="62"/>
  <c r="O154" i="62"/>
  <c r="U154" i="62"/>
  <c r="V271" i="50" l="1"/>
  <c r="V270" i="50"/>
  <c r="O267" i="50"/>
  <c r="H272" i="50"/>
  <c r="V274" i="50"/>
  <c r="O274" i="50"/>
  <c r="V267" i="50"/>
  <c r="O272" i="50"/>
  <c r="V272" i="50"/>
  <c r="H267" i="50"/>
  <c r="H274" i="50"/>
  <c r="H270" i="50"/>
  <c r="O271" i="50"/>
  <c r="O275" i="50"/>
  <c r="O270" i="50"/>
  <c r="H276" i="50"/>
  <c r="V275" i="50"/>
  <c r="H269" i="50"/>
  <c r="H271" i="50"/>
  <c r="H277" i="50"/>
  <c r="V269" i="50"/>
  <c r="W247" i="50"/>
  <c r="V273" i="50"/>
  <c r="W251" i="50"/>
  <c r="P247" i="50"/>
  <c r="O269" i="50"/>
  <c r="P251" i="50"/>
  <c r="O273" i="50"/>
  <c r="J253" i="50"/>
  <c r="I275" i="50"/>
  <c r="J251" i="50"/>
  <c r="I273" i="50"/>
  <c r="I227" i="50"/>
  <c r="I249" i="50" s="1"/>
  <c r="I233" i="50"/>
  <c r="I255" i="50" s="1"/>
  <c r="P227" i="50"/>
  <c r="P249" i="50" s="1"/>
  <c r="P220" i="50"/>
  <c r="P218" i="50"/>
  <c r="W227" i="50"/>
  <c r="W249" i="50" s="1"/>
  <c r="W226" i="50"/>
  <c r="W248" i="50" s="1"/>
  <c r="W218" i="50"/>
  <c r="J214" i="50"/>
  <c r="K214" i="50"/>
  <c r="I232" i="50"/>
  <c r="I254" i="50" s="1"/>
  <c r="I228" i="50"/>
  <c r="I250" i="50" s="1"/>
  <c r="J221" i="50"/>
  <c r="K221" i="50"/>
  <c r="W230" i="50"/>
  <c r="W252" i="50" s="1"/>
  <c r="W223" i="50"/>
  <c r="W245" i="50" s="1"/>
  <c r="P228" i="50"/>
  <c r="P250" i="50" s="1"/>
  <c r="P234" i="50"/>
  <c r="I230" i="50"/>
  <c r="I252" i="50" s="1"/>
  <c r="J219" i="50"/>
  <c r="K219" i="50"/>
  <c r="I225" i="50"/>
  <c r="I247" i="50" s="1"/>
  <c r="W221" i="50"/>
  <c r="W220" i="50"/>
  <c r="I234" i="50"/>
  <c r="P231" i="50"/>
  <c r="P253" i="50" s="1"/>
  <c r="P226" i="50"/>
  <c r="P248" i="50" s="1"/>
  <c r="P223" i="50"/>
  <c r="P245" i="50" s="1"/>
  <c r="Y214" i="50"/>
  <c r="X214" i="50"/>
  <c r="I220" i="50"/>
  <c r="W231" i="50"/>
  <c r="W253" i="50" s="1"/>
  <c r="P230" i="50"/>
  <c r="P252" i="50" s="1"/>
  <c r="P232" i="50"/>
  <c r="P221" i="50"/>
  <c r="W234" i="50"/>
  <c r="W228" i="50"/>
  <c r="W250" i="50" s="1"/>
  <c r="W232" i="50"/>
  <c r="I223" i="50"/>
  <c r="I245" i="50" s="1"/>
  <c r="I218" i="50"/>
  <c r="I226" i="50"/>
  <c r="I248" i="50" s="1"/>
  <c r="C16" i="16"/>
  <c r="I270" i="50" l="1"/>
  <c r="I267" i="50"/>
  <c r="W275" i="50"/>
  <c r="P267" i="50"/>
  <c r="P275" i="50"/>
  <c r="P272" i="50"/>
  <c r="W274" i="50"/>
  <c r="I272" i="50"/>
  <c r="I276" i="50"/>
  <c r="W271" i="50"/>
  <c r="P271" i="50"/>
  <c r="I277" i="50"/>
  <c r="I271" i="50"/>
  <c r="W272" i="50"/>
  <c r="P274" i="50"/>
  <c r="P270" i="50"/>
  <c r="I269" i="50"/>
  <c r="I274" i="50"/>
  <c r="W267" i="50"/>
  <c r="W270" i="50"/>
  <c r="X251" i="50"/>
  <c r="W273" i="50"/>
  <c r="X247" i="50"/>
  <c r="W269" i="50"/>
  <c r="J273" i="50"/>
  <c r="K251" i="50"/>
  <c r="K273" i="50" s="1"/>
  <c r="J275" i="50"/>
  <c r="K253" i="50"/>
  <c r="K275" i="50" s="1"/>
  <c r="Q251" i="50"/>
  <c r="P273" i="50"/>
  <c r="Q247" i="50"/>
  <c r="P269" i="50"/>
  <c r="R226" i="50"/>
  <c r="Q226" i="50"/>
  <c r="Q248" i="50" s="1"/>
  <c r="J234" i="50"/>
  <c r="K234" i="50"/>
  <c r="Y221" i="50"/>
  <c r="X221" i="50"/>
  <c r="J232" i="50"/>
  <c r="J254" i="50" s="1"/>
  <c r="K232" i="50"/>
  <c r="Y218" i="50"/>
  <c r="X218" i="50"/>
  <c r="Y227" i="50"/>
  <c r="X227" i="50"/>
  <c r="X249" i="50" s="1"/>
  <c r="R220" i="50"/>
  <c r="Q220" i="50"/>
  <c r="J233" i="50"/>
  <c r="J255" i="50" s="1"/>
  <c r="K233" i="50"/>
  <c r="J218" i="50"/>
  <c r="K218" i="50"/>
  <c r="Y232" i="50"/>
  <c r="X232" i="50"/>
  <c r="Y234" i="50"/>
  <c r="X234" i="50"/>
  <c r="R232" i="50"/>
  <c r="Q232" i="50"/>
  <c r="Y231" i="50"/>
  <c r="X231" i="50"/>
  <c r="X253" i="50" s="1"/>
  <c r="R234" i="50"/>
  <c r="Q234" i="50"/>
  <c r="Y223" i="50"/>
  <c r="X223" i="50"/>
  <c r="X245" i="50" s="1"/>
  <c r="J226" i="50"/>
  <c r="J248" i="50" s="1"/>
  <c r="K226" i="50"/>
  <c r="J223" i="50"/>
  <c r="J245" i="50" s="1"/>
  <c r="K223" i="50"/>
  <c r="Y228" i="50"/>
  <c r="X228" i="50"/>
  <c r="X250" i="50" s="1"/>
  <c r="R221" i="50"/>
  <c r="Q221" i="50"/>
  <c r="R230" i="50"/>
  <c r="Q230" i="50"/>
  <c r="Q252" i="50" s="1"/>
  <c r="J220" i="50"/>
  <c r="K220" i="50"/>
  <c r="R223" i="50"/>
  <c r="Q223" i="50"/>
  <c r="Q245" i="50" s="1"/>
  <c r="R231" i="50"/>
  <c r="Q231" i="50"/>
  <c r="Q253" i="50" s="1"/>
  <c r="Y220" i="50"/>
  <c r="X220" i="50"/>
  <c r="J225" i="50"/>
  <c r="J247" i="50" s="1"/>
  <c r="K225" i="50"/>
  <c r="J230" i="50"/>
  <c r="J252" i="50" s="1"/>
  <c r="K230" i="50"/>
  <c r="R228" i="50"/>
  <c r="Q228" i="50"/>
  <c r="Q250" i="50" s="1"/>
  <c r="Y230" i="50"/>
  <c r="X230" i="50"/>
  <c r="X252" i="50" s="1"/>
  <c r="J228" i="50"/>
  <c r="J250" i="50" s="1"/>
  <c r="K228" i="50"/>
  <c r="Y226" i="50"/>
  <c r="X226" i="50"/>
  <c r="X248" i="50" s="1"/>
  <c r="R218" i="50"/>
  <c r="Q218" i="50"/>
  <c r="R227" i="50"/>
  <c r="Q227" i="50"/>
  <c r="Q249" i="50" s="1"/>
  <c r="J227" i="50"/>
  <c r="J249" i="50" s="1"/>
  <c r="K227" i="50"/>
  <c r="W154" i="62"/>
  <c r="P154" i="62"/>
  <c r="H154" i="62"/>
  <c r="I154" i="62"/>
  <c r="E107" i="51"/>
  <c r="E106" i="51"/>
  <c r="E105" i="51"/>
  <c r="E104" i="51"/>
  <c r="E103" i="51"/>
  <c r="E102" i="51"/>
  <c r="E100" i="51"/>
  <c r="E99" i="51"/>
  <c r="E97" i="51"/>
  <c r="E96" i="51"/>
  <c r="E95" i="51"/>
  <c r="E94" i="51"/>
  <c r="E92" i="51"/>
  <c r="E90" i="51"/>
  <c r="E89" i="51"/>
  <c r="E88" i="51"/>
  <c r="E87" i="51"/>
  <c r="E86" i="51"/>
  <c r="E85" i="51"/>
  <c r="E84" i="51"/>
  <c r="E83" i="51"/>
  <c r="E81" i="51"/>
  <c r="E80" i="51"/>
  <c r="E77" i="51"/>
  <c r="E76" i="51"/>
  <c r="E75" i="51"/>
  <c r="E74" i="51"/>
  <c r="E72" i="51"/>
  <c r="E71" i="51"/>
  <c r="E69" i="51"/>
  <c r="E68" i="51"/>
  <c r="E67" i="51"/>
  <c r="E65" i="51"/>
  <c r="E64" i="51"/>
  <c r="E62" i="51"/>
  <c r="E61" i="51"/>
  <c r="E82" i="51" l="1"/>
  <c r="E98" i="51"/>
  <c r="R249" i="50"/>
  <c r="R271" i="50" s="1"/>
  <c r="Q271" i="50"/>
  <c r="X270" i="50"/>
  <c r="Y248" i="50"/>
  <c r="Y270" i="50" s="1"/>
  <c r="X274" i="50"/>
  <c r="Y252" i="50"/>
  <c r="Y274" i="50" s="1"/>
  <c r="R250" i="50"/>
  <c r="R272" i="50" s="1"/>
  <c r="Q272" i="50"/>
  <c r="R253" i="50"/>
  <c r="R275" i="50" s="1"/>
  <c r="Q275" i="50"/>
  <c r="R245" i="50"/>
  <c r="R267" i="50" s="1"/>
  <c r="Q267" i="50"/>
  <c r="R252" i="50"/>
  <c r="R274" i="50" s="1"/>
  <c r="Q274" i="50"/>
  <c r="X272" i="50"/>
  <c r="Y250" i="50"/>
  <c r="Y272" i="50" s="1"/>
  <c r="X267" i="50"/>
  <c r="Y245" i="50"/>
  <c r="Y267" i="50" s="1"/>
  <c r="X275" i="50"/>
  <c r="Y253" i="50"/>
  <c r="Y275" i="50" s="1"/>
  <c r="X271" i="50"/>
  <c r="Y249" i="50"/>
  <c r="Y271" i="50" s="1"/>
  <c r="R248" i="50"/>
  <c r="R270" i="50" s="1"/>
  <c r="Q270" i="50"/>
  <c r="J271" i="50"/>
  <c r="K249" i="50"/>
  <c r="K271" i="50" s="1"/>
  <c r="J272" i="50"/>
  <c r="K250" i="50"/>
  <c r="K272" i="50" s="1"/>
  <c r="J274" i="50"/>
  <c r="K252" i="50"/>
  <c r="K274" i="50" s="1"/>
  <c r="J269" i="50"/>
  <c r="K247" i="50"/>
  <c r="K269" i="50" s="1"/>
  <c r="J267" i="50"/>
  <c r="K245" i="50"/>
  <c r="K267" i="50" s="1"/>
  <c r="J270" i="50"/>
  <c r="K248" i="50"/>
  <c r="K270" i="50" s="1"/>
  <c r="J277" i="50"/>
  <c r="K255" i="50"/>
  <c r="K277" i="50" s="1"/>
  <c r="J276" i="50"/>
  <c r="K254" i="50"/>
  <c r="K276" i="50" s="1"/>
  <c r="R247" i="50"/>
  <c r="R269" i="50" s="1"/>
  <c r="Q269" i="50"/>
  <c r="R251" i="50"/>
  <c r="R273" i="50" s="1"/>
  <c r="Q273" i="50"/>
  <c r="X269" i="50"/>
  <c r="Y247" i="50"/>
  <c r="Y269" i="50" s="1"/>
  <c r="X273" i="50"/>
  <c r="Y251" i="50"/>
  <c r="Y273" i="50" s="1"/>
  <c r="X154" i="62"/>
  <c r="Q154" i="62"/>
  <c r="Q48" i="53"/>
  <c r="J48" i="53"/>
  <c r="C48" i="53"/>
  <c r="Y154" i="62" l="1"/>
  <c r="R154" i="62"/>
  <c r="J154" i="62"/>
  <c r="K154" i="62"/>
  <c r="O48" i="53"/>
  <c r="M48" i="53"/>
  <c r="U48" i="53"/>
  <c r="T48" i="53"/>
  <c r="V48" i="53"/>
  <c r="S48" i="53"/>
  <c r="W48" i="53"/>
  <c r="P48" i="53"/>
  <c r="N48" i="53"/>
  <c r="L48" i="53"/>
  <c r="I48" i="53"/>
  <c r="G48" i="53"/>
  <c r="E48" i="53"/>
  <c r="H48" i="53"/>
  <c r="F48" i="53"/>
  <c r="E28" i="58" l="1"/>
  <c r="F28" i="58"/>
  <c r="G28" i="58"/>
  <c r="H28" i="58"/>
  <c r="I28" i="58"/>
  <c r="J28" i="58"/>
  <c r="D28" i="58"/>
  <c r="R8" i="22" l="1"/>
  <c r="Q8" i="22"/>
  <c r="P8" i="22"/>
  <c r="O8" i="22"/>
  <c r="N8" i="22"/>
  <c r="M8" i="22"/>
  <c r="L8" i="22"/>
  <c r="K8" i="22"/>
  <c r="J8" i="22"/>
  <c r="I8" i="22"/>
  <c r="H8" i="22"/>
  <c r="G8" i="22"/>
  <c r="F8" i="22"/>
  <c r="E8" i="22"/>
  <c r="D8" i="22"/>
  <c r="I9" i="49"/>
  <c r="H9" i="49"/>
  <c r="G9" i="49"/>
  <c r="F9" i="49"/>
  <c r="E9" i="49"/>
  <c r="D9" i="49"/>
  <c r="C9" i="49"/>
  <c r="H6" i="48"/>
  <c r="G6" i="48"/>
  <c r="F6" i="48"/>
  <c r="E6" i="48"/>
  <c r="D6" i="48"/>
  <c r="H6" i="47"/>
  <c r="G6" i="47"/>
  <c r="F6" i="47"/>
  <c r="E6" i="47"/>
  <c r="D6" i="47"/>
  <c r="J8" i="58"/>
  <c r="I8" i="58"/>
  <c r="H8" i="58"/>
  <c r="G8" i="58"/>
  <c r="F8" i="58"/>
  <c r="E8" i="58"/>
  <c r="D8" i="58"/>
  <c r="J8" i="65" l="1"/>
  <c r="I8" i="65"/>
  <c r="H8" i="65"/>
  <c r="G8" i="65"/>
  <c r="F8" i="65"/>
  <c r="E8" i="65"/>
  <c r="D8" i="65"/>
  <c r="G57" i="65"/>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i="65"/>
  <c r="H67" i="65"/>
  <c r="G67" i="65"/>
  <c r="F67" i="65"/>
  <c r="E67" i="65"/>
  <c r="S15" i="17" s="1"/>
  <c r="D67" i="65"/>
  <c r="R15" i="17" s="1"/>
  <c r="J65" i="65"/>
  <c r="X14" i="17" s="1"/>
  <c r="I65" i="65"/>
  <c r="W14" i="17" s="1"/>
  <c r="H65" i="65"/>
  <c r="V14" i="17" s="1"/>
  <c r="G65" i="65"/>
  <c r="U14" i="17" s="1"/>
  <c r="F65" i="65"/>
  <c r="T14" i="17" s="1"/>
  <c r="E65" i="65"/>
  <c r="S14" i="17" s="1"/>
  <c r="D65" i="65"/>
  <c r="R14" i="17" s="1"/>
  <c r="L15" i="17"/>
  <c r="K15" i="17"/>
  <c r="J42" i="65"/>
  <c r="I42" i="65"/>
  <c r="H42" i="65"/>
  <c r="G42" i="65"/>
  <c r="F42" i="65"/>
  <c r="E42" i="65"/>
  <c r="D42" i="65"/>
  <c r="J38" i="65"/>
  <c r="I38" i="65"/>
  <c r="H38" i="65"/>
  <c r="G38" i="65"/>
  <c r="F38" i="65"/>
  <c r="E38" i="65"/>
  <c r="D38" i="65"/>
  <c r="J31" i="65"/>
  <c r="I31" i="65"/>
  <c r="H31" i="65"/>
  <c r="G31" i="65"/>
  <c r="F31" i="65"/>
  <c r="E31" i="65"/>
  <c r="D31" i="65"/>
  <c r="J27" i="65"/>
  <c r="I27" i="65"/>
  <c r="H27" i="65"/>
  <c r="G27" i="65"/>
  <c r="F27" i="65"/>
  <c r="E27" i="65"/>
  <c r="D27" i="65"/>
  <c r="J23" i="65"/>
  <c r="I23" i="65"/>
  <c r="H23" i="65"/>
  <c r="G23" i="65"/>
  <c r="F23" i="65"/>
  <c r="E23" i="65"/>
  <c r="D23" i="65"/>
  <c r="S13" i="17" l="1"/>
  <c r="T15" i="17"/>
  <c r="F63" i="65"/>
  <c r="X15" i="17"/>
  <c r="J63" i="65"/>
  <c r="U15" i="17"/>
  <c r="G63" i="65"/>
  <c r="V15" i="17"/>
  <c r="H63" i="65"/>
  <c r="W15" i="17"/>
  <c r="I63" i="65"/>
  <c r="R13" i="17"/>
  <c r="K13" i="17"/>
  <c r="L13" i="17"/>
  <c r="G21" i="65"/>
  <c r="H62" i="1" s="1"/>
  <c r="F35" i="65"/>
  <c r="F37" i="65" s="1"/>
  <c r="D35" i="65"/>
  <c r="D37" i="65" s="1"/>
  <c r="J53" i="65"/>
  <c r="P99" i="53" s="1"/>
  <c r="F53" i="65"/>
  <c r="L99" i="53" s="1"/>
  <c r="G53" i="65"/>
  <c r="J39" i="65"/>
  <c r="J35" i="65"/>
  <c r="J37" i="65" s="1"/>
  <c r="D43" i="65"/>
  <c r="I32" i="65"/>
  <c r="F21" i="65"/>
  <c r="G62" i="1" s="1"/>
  <c r="J21" i="65"/>
  <c r="K62" i="1" s="1"/>
  <c r="H35" i="65"/>
  <c r="H37" i="65" s="1"/>
  <c r="H32" i="65"/>
  <c r="E63" i="65"/>
  <c r="I43" i="65"/>
  <c r="D63" i="65"/>
  <c r="D21" i="65"/>
  <c r="E62" i="1" s="1"/>
  <c r="H21" i="65"/>
  <c r="I62" i="1" s="1"/>
  <c r="E21" i="65"/>
  <c r="I21" i="65"/>
  <c r="J62" i="1" s="1"/>
  <c r="D53" i="65"/>
  <c r="J99" i="53" s="1"/>
  <c r="H53" i="65"/>
  <c r="E53" i="65"/>
  <c r="K99" i="53" s="1"/>
  <c r="I53" i="65"/>
  <c r="O99" i="53" s="1"/>
  <c r="J43" i="65"/>
  <c r="E35" i="65"/>
  <c r="E37" i="65" s="1"/>
  <c r="I35" i="65"/>
  <c r="I37" i="65" s="1"/>
  <c r="G35" i="65"/>
  <c r="G37" i="65" s="1"/>
  <c r="D48" i="65" l="1"/>
  <c r="D12" i="17" s="1"/>
  <c r="G64" i="65"/>
  <c r="G22" i="65"/>
  <c r="H19" i="65"/>
  <c r="H20" i="65" s="1"/>
  <c r="J64" i="65"/>
  <c r="F64" i="65"/>
  <c r="H64" i="65"/>
  <c r="G19" i="65"/>
  <c r="G20" i="65" s="1"/>
  <c r="G54" i="65"/>
  <c r="M99" i="53"/>
  <c r="H54" i="65"/>
  <c r="N99" i="53"/>
  <c r="D50" i="65"/>
  <c r="I19" i="65"/>
  <c r="I20" i="65" s="1"/>
  <c r="H48" i="65"/>
  <c r="H12" i="17" s="1"/>
  <c r="J48" i="65"/>
  <c r="J49" i="65" s="1"/>
  <c r="J54" i="65"/>
  <c r="F48" i="65"/>
  <c r="F12" i="17" s="1"/>
  <c r="E64" i="65"/>
  <c r="F62" i="1"/>
  <c r="F19" i="65"/>
  <c r="F20" i="65" s="1"/>
  <c r="I61" i="1"/>
  <c r="K61" i="1"/>
  <c r="J61" i="1"/>
  <c r="D32" i="65"/>
  <c r="E61" i="1"/>
  <c r="D51" i="65"/>
  <c r="F32" i="65"/>
  <c r="G61" i="1"/>
  <c r="I39" i="65"/>
  <c r="J32" i="65"/>
  <c r="E32" i="65"/>
  <c r="F61" i="1"/>
  <c r="H61" i="1"/>
  <c r="F54" i="65"/>
  <c r="F22" i="65"/>
  <c r="F36" i="65"/>
  <c r="D36" i="65"/>
  <c r="J19" i="65"/>
  <c r="F39" i="65"/>
  <c r="I54" i="65"/>
  <c r="H39" i="65"/>
  <c r="F43" i="65"/>
  <c r="D54" i="65"/>
  <c r="G39" i="65"/>
  <c r="G32" i="65"/>
  <c r="E39" i="65"/>
  <c r="G43" i="65"/>
  <c r="E43" i="65"/>
  <c r="H22" i="65"/>
  <c r="H43" i="65"/>
  <c r="J36" i="65"/>
  <c r="H36" i="65"/>
  <c r="J22" i="65"/>
  <c r="D39" i="65"/>
  <c r="E54" i="65"/>
  <c r="I64" i="65"/>
  <c r="D22" i="65"/>
  <c r="I22" i="65"/>
  <c r="D64" i="65"/>
  <c r="D19" i="65"/>
  <c r="E19" i="65"/>
  <c r="E22" i="65"/>
  <c r="I48" i="65"/>
  <c r="I12" i="17" s="1"/>
  <c r="I36" i="65"/>
  <c r="E48" i="65"/>
  <c r="E12" i="17" s="1"/>
  <c r="E36" i="65"/>
  <c r="G36" i="65"/>
  <c r="G48" i="65"/>
  <c r="D49" i="65" l="1"/>
  <c r="E63" i="1"/>
  <c r="E12" i="2" s="1"/>
  <c r="H49" i="65"/>
  <c r="I63" i="1"/>
  <c r="I12" i="2" s="1"/>
  <c r="H51" i="65"/>
  <c r="F51" i="65"/>
  <c r="G51" i="65"/>
  <c r="G12" i="17"/>
  <c r="H50" i="65"/>
  <c r="J50" i="65"/>
  <c r="J12" i="17"/>
  <c r="I13" i="2"/>
  <c r="K63" i="1"/>
  <c r="K12" i="2" s="1"/>
  <c r="J51" i="65"/>
  <c r="J20" i="65"/>
  <c r="I50" i="65"/>
  <c r="J63" i="1"/>
  <c r="E51" i="65"/>
  <c r="E50" i="65"/>
  <c r="G50" i="65"/>
  <c r="H63" i="1"/>
  <c r="H12" i="2" s="1"/>
  <c r="F50" i="65"/>
  <c r="I51" i="65"/>
  <c r="E13" i="2"/>
  <c r="F49" i="65"/>
  <c r="G63" i="1"/>
  <c r="F63" i="1"/>
  <c r="D20" i="65"/>
  <c r="E20" i="65"/>
  <c r="G49" i="65"/>
  <c r="E49" i="65"/>
  <c r="I49" i="65"/>
  <c r="F13" i="2" l="1"/>
  <c r="F12" i="2"/>
  <c r="G13" i="2"/>
  <c r="G12" i="2"/>
  <c r="H13" i="2"/>
  <c r="K13" i="2"/>
  <c r="J13" i="2"/>
  <c r="J12" i="2"/>
  <c r="M255" i="50"/>
  <c r="M277" i="50" s="1"/>
  <c r="AF26" i="51"/>
  <c r="AE26" i="51"/>
  <c r="AD26" i="51"/>
  <c r="AC26" i="51"/>
  <c r="AB26" i="51"/>
  <c r="AA26" i="51"/>
  <c r="Z26" i="51"/>
  <c r="Y26" i="51"/>
  <c r="X26" i="51"/>
  <c r="W26" i="51"/>
  <c r="V26" i="51"/>
  <c r="U26" i="51"/>
  <c r="T26" i="51"/>
  <c r="S26" i="51"/>
  <c r="R26" i="51"/>
  <c r="Q26" i="51"/>
  <c r="P26" i="51"/>
  <c r="O26" i="51"/>
  <c r="N26" i="51"/>
  <c r="M26" i="51"/>
  <c r="L26" i="51"/>
  <c r="K26" i="51"/>
  <c r="J26" i="51"/>
  <c r="I26" i="51"/>
  <c r="H26" i="51"/>
  <c r="G26" i="51"/>
  <c r="F26" i="51"/>
  <c r="E26" i="51"/>
  <c r="T76" i="62"/>
  <c r="U76" i="62" s="1"/>
  <c r="V76" i="62" s="1"/>
  <c r="W76" i="62" s="1"/>
  <c r="X76" i="62" s="1"/>
  <c r="Y76" i="62" s="1"/>
  <c r="M76" i="62"/>
  <c r="N76" i="62" s="1"/>
  <c r="O76" i="62" s="1"/>
  <c r="P76" i="62" s="1"/>
  <c r="Q76" i="62" s="1"/>
  <c r="R76" i="62" s="1"/>
  <c r="F76" i="62"/>
  <c r="G76" i="62" s="1"/>
  <c r="H76" i="62" s="1"/>
  <c r="I76" i="62" s="1"/>
  <c r="J76" i="62" s="1"/>
  <c r="K76" i="62" s="1"/>
  <c r="F240" i="50"/>
  <c r="G240" i="50" s="1"/>
  <c r="M240" i="50"/>
  <c r="M262" i="50" s="1"/>
  <c r="T240" i="50"/>
  <c r="U240" i="50" s="1"/>
  <c r="F241" i="50"/>
  <c r="G241" i="50" s="1"/>
  <c r="M241" i="50"/>
  <c r="N241" i="50" s="1"/>
  <c r="T241" i="50"/>
  <c r="T263" i="50" s="1"/>
  <c r="F242" i="50"/>
  <c r="G242" i="50" s="1"/>
  <c r="M242" i="50"/>
  <c r="N242" i="50" s="1"/>
  <c r="T242" i="50"/>
  <c r="U242" i="50" s="1"/>
  <c r="F265" i="50"/>
  <c r="M243" i="50"/>
  <c r="M265" i="50" s="1"/>
  <c r="T243" i="50"/>
  <c r="U243" i="50" s="1"/>
  <c r="F262" i="50" l="1"/>
  <c r="M264" i="50"/>
  <c r="F263" i="50"/>
  <c r="T262" i="50"/>
  <c r="T264" i="50"/>
  <c r="T265" i="50"/>
  <c r="M263" i="50"/>
  <c r="F264" i="50"/>
  <c r="G243" i="50"/>
  <c r="G265" i="50" s="1"/>
  <c r="N240" i="50"/>
  <c r="N262" i="50" s="1"/>
  <c r="U241" i="50"/>
  <c r="V241" i="50" s="1"/>
  <c r="N243" i="50"/>
  <c r="O243" i="50" s="1"/>
  <c r="N255" i="50"/>
  <c r="N277" i="50" s="1"/>
  <c r="V243" i="50"/>
  <c r="U265" i="50"/>
  <c r="O242" i="50"/>
  <c r="N264" i="50"/>
  <c r="H241" i="50"/>
  <c r="G263" i="50"/>
  <c r="V242" i="50"/>
  <c r="U264" i="50"/>
  <c r="H242" i="50"/>
  <c r="G264" i="50"/>
  <c r="O241" i="50"/>
  <c r="N263" i="50"/>
  <c r="V240" i="50"/>
  <c r="U262" i="50"/>
  <c r="H240" i="50"/>
  <c r="G262" i="50"/>
  <c r="U263" i="50" l="1"/>
  <c r="O240" i="50"/>
  <c r="O262" i="50" s="1"/>
  <c r="N265" i="50"/>
  <c r="H243" i="50"/>
  <c r="H265" i="50" s="1"/>
  <c r="O255" i="50"/>
  <c r="O277" i="50" s="1"/>
  <c r="H262" i="50"/>
  <c r="I240" i="50"/>
  <c r="V262" i="50"/>
  <c r="W240" i="50"/>
  <c r="O263" i="50"/>
  <c r="P241" i="50"/>
  <c r="H264" i="50"/>
  <c r="I242" i="50"/>
  <c r="V264" i="50"/>
  <c r="W242" i="50"/>
  <c r="O265" i="50"/>
  <c r="P243" i="50"/>
  <c r="H263" i="50"/>
  <c r="I241" i="50"/>
  <c r="V263" i="50"/>
  <c r="W241" i="50"/>
  <c r="O264" i="50"/>
  <c r="P242" i="50"/>
  <c r="V265" i="50"/>
  <c r="W243" i="50"/>
  <c r="P240" i="50" l="1"/>
  <c r="Q240" i="50" s="1"/>
  <c r="I243" i="50"/>
  <c r="J243" i="50" s="1"/>
  <c r="P255" i="50"/>
  <c r="P277" i="50" s="1"/>
  <c r="X243" i="50"/>
  <c r="W265" i="50"/>
  <c r="Q242" i="50"/>
  <c r="P264" i="50"/>
  <c r="X241" i="50"/>
  <c r="W263" i="50"/>
  <c r="J241" i="50"/>
  <c r="I263" i="50"/>
  <c r="Q243" i="50"/>
  <c r="P265" i="50"/>
  <c r="X242" i="50"/>
  <c r="W264" i="50"/>
  <c r="J242" i="50"/>
  <c r="I264" i="50"/>
  <c r="Q241" i="50"/>
  <c r="P263" i="50"/>
  <c r="X240" i="50"/>
  <c r="W262" i="50"/>
  <c r="J240" i="50"/>
  <c r="I262" i="50"/>
  <c r="P262" i="50" l="1"/>
  <c r="I265" i="50"/>
  <c r="Q255" i="50"/>
  <c r="Q277" i="50" s="1"/>
  <c r="J262" i="50"/>
  <c r="K240" i="50"/>
  <c r="K262" i="50" s="1"/>
  <c r="X262" i="50"/>
  <c r="Y240" i="50"/>
  <c r="Y262" i="50" s="1"/>
  <c r="Q263" i="50"/>
  <c r="R241" i="50"/>
  <c r="R263" i="50" s="1"/>
  <c r="J264" i="50"/>
  <c r="K242" i="50"/>
  <c r="K264" i="50" s="1"/>
  <c r="X264" i="50"/>
  <c r="Y242" i="50"/>
  <c r="Y264" i="50" s="1"/>
  <c r="Q265" i="50"/>
  <c r="R243" i="50"/>
  <c r="R265" i="50" s="1"/>
  <c r="Q262" i="50"/>
  <c r="R240" i="50"/>
  <c r="R262" i="50" s="1"/>
  <c r="J263" i="50"/>
  <c r="K241" i="50"/>
  <c r="K263" i="50" s="1"/>
  <c r="X263" i="50"/>
  <c r="Y241" i="50"/>
  <c r="Y263" i="50" s="1"/>
  <c r="Q264" i="50"/>
  <c r="R242" i="50"/>
  <c r="R264" i="50" s="1"/>
  <c r="J265" i="50"/>
  <c r="K243" i="50"/>
  <c r="K265" i="50" s="1"/>
  <c r="X265" i="50"/>
  <c r="Y243" i="50"/>
  <c r="Y265" i="50" s="1"/>
  <c r="R255" i="50" l="1"/>
  <c r="R277" i="50" s="1"/>
  <c r="C42" i="7" l="1"/>
  <c r="C40" i="7" s="1"/>
  <c r="I41" i="7"/>
  <c r="H41" i="7"/>
  <c r="G41" i="7"/>
  <c r="F41" i="7"/>
  <c r="E41" i="7"/>
  <c r="D41" i="7"/>
  <c r="C41" i="7"/>
  <c r="J42" i="7"/>
  <c r="P41" i="7"/>
  <c r="O41" i="7"/>
  <c r="N41" i="7"/>
  <c r="M41" i="7"/>
  <c r="L41" i="7"/>
  <c r="K41" i="7"/>
  <c r="J41" i="7"/>
  <c r="Q42" i="7"/>
  <c r="R36" i="7" s="1"/>
  <c r="R40" i="7" s="1"/>
  <c r="W41" i="7"/>
  <c r="V41" i="7"/>
  <c r="U41" i="7"/>
  <c r="T41" i="7"/>
  <c r="S41" i="7"/>
  <c r="R41" i="7"/>
  <c r="Q41" i="7"/>
  <c r="K36" i="7" l="1"/>
  <c r="J40" i="7"/>
  <c r="D36" i="7"/>
  <c r="R42" i="7"/>
  <c r="S36" i="7" s="1"/>
  <c r="S40" i="7" s="1"/>
  <c r="M59" i="41"/>
  <c r="M69" i="41" s="1"/>
  <c r="N59" i="41"/>
  <c r="N69" i="41" s="1"/>
  <c r="O59" i="41"/>
  <c r="O69" i="41" s="1"/>
  <c r="P59" i="41"/>
  <c r="P69" i="41" s="1"/>
  <c r="Q59" i="41"/>
  <c r="Q69" i="41" s="1"/>
  <c r="R59" i="41"/>
  <c r="R69" i="41" s="1"/>
  <c r="S59" i="41"/>
  <c r="S69" i="41" s="1"/>
  <c r="T59" i="41"/>
  <c r="T69" i="41" s="1"/>
  <c r="U59" i="41"/>
  <c r="U69" i="41" s="1"/>
  <c r="V59" i="41"/>
  <c r="V69" i="41" s="1"/>
  <c r="W59" i="41"/>
  <c r="W69" i="41" s="1"/>
  <c r="X59" i="41"/>
  <c r="X69" i="41" s="1"/>
  <c r="Y59" i="41"/>
  <c r="Y69" i="41" s="1"/>
  <c r="Z59" i="41"/>
  <c r="Z69" i="41" s="1"/>
  <c r="D37" i="39"/>
  <c r="E37" i="39"/>
  <c r="F37" i="39"/>
  <c r="G37" i="39"/>
  <c r="H37" i="39"/>
  <c r="I37" i="39"/>
  <c r="J37" i="39"/>
  <c r="Q17" i="53" s="1"/>
  <c r="J42" i="39" s="1"/>
  <c r="K37" i="39"/>
  <c r="K42" i="39" s="1"/>
  <c r="L37" i="39"/>
  <c r="M37" i="39"/>
  <c r="N37" i="39"/>
  <c r="O37" i="39"/>
  <c r="P37" i="39"/>
  <c r="C37" i="39"/>
  <c r="D25" i="39"/>
  <c r="D27" i="39" s="1"/>
  <c r="E25" i="39"/>
  <c r="E27" i="39" s="1"/>
  <c r="F25" i="39"/>
  <c r="F27" i="39" s="1"/>
  <c r="G25" i="39"/>
  <c r="G27" i="39" s="1"/>
  <c r="H25" i="39"/>
  <c r="H27" i="39" s="1"/>
  <c r="I25" i="39"/>
  <c r="I27" i="39" s="1"/>
  <c r="J25" i="39"/>
  <c r="K25" i="39"/>
  <c r="K29" i="39" s="1"/>
  <c r="L25" i="39"/>
  <c r="M25" i="39"/>
  <c r="N25" i="39"/>
  <c r="O25" i="39"/>
  <c r="P25" i="39"/>
  <c r="C25" i="39"/>
  <c r="C27" i="39" s="1"/>
  <c r="D12" i="39"/>
  <c r="E12" i="39"/>
  <c r="F12" i="39"/>
  <c r="G12" i="39"/>
  <c r="H12" i="39"/>
  <c r="I12" i="39"/>
  <c r="C12" i="39"/>
  <c r="K42" i="7" l="1"/>
  <c r="L36" i="7" s="1"/>
  <c r="L42" i="7" s="1"/>
  <c r="M36" i="7" s="1"/>
  <c r="T37" i="39"/>
  <c r="J17" i="53"/>
  <c r="M17" i="53" s="1"/>
  <c r="M29" i="39" s="1"/>
  <c r="T17" i="53"/>
  <c r="M42" i="39" s="1"/>
  <c r="S17" i="53"/>
  <c r="L42" i="39" s="1"/>
  <c r="W17" i="53"/>
  <c r="P42" i="39" s="1"/>
  <c r="V17" i="53"/>
  <c r="O42" i="39" s="1"/>
  <c r="U17" i="53"/>
  <c r="N42" i="39" s="1"/>
  <c r="L17" i="53"/>
  <c r="L29" i="39" s="1"/>
  <c r="W37" i="39"/>
  <c r="S37" i="39"/>
  <c r="E79" i="1"/>
  <c r="C39" i="39"/>
  <c r="C40" i="39"/>
  <c r="K79" i="1"/>
  <c r="I40" i="39"/>
  <c r="I39" i="39"/>
  <c r="G79" i="1"/>
  <c r="E40" i="39"/>
  <c r="E39" i="39"/>
  <c r="J79" i="1"/>
  <c r="H39" i="39"/>
  <c r="H40" i="39"/>
  <c r="F79" i="1"/>
  <c r="D39" i="39"/>
  <c r="D40" i="39"/>
  <c r="V37" i="39"/>
  <c r="R37" i="39"/>
  <c r="I79" i="1"/>
  <c r="G39" i="39"/>
  <c r="G40" i="39"/>
  <c r="W25" i="39"/>
  <c r="S25" i="39"/>
  <c r="U37" i="39"/>
  <c r="Q37" i="39"/>
  <c r="H79" i="1"/>
  <c r="F39" i="39"/>
  <c r="F40" i="39"/>
  <c r="U25" i="39"/>
  <c r="V25" i="39"/>
  <c r="R25" i="39"/>
  <c r="Q25" i="39"/>
  <c r="T25" i="39"/>
  <c r="F78" i="1"/>
  <c r="D14" i="39"/>
  <c r="D15" i="39"/>
  <c r="H78" i="1"/>
  <c r="F14" i="39"/>
  <c r="F15" i="39"/>
  <c r="E78" i="1"/>
  <c r="C15" i="39"/>
  <c r="C14" i="39"/>
  <c r="K78" i="1"/>
  <c r="I14" i="39"/>
  <c r="I15" i="39"/>
  <c r="G78" i="1"/>
  <c r="E14" i="39"/>
  <c r="E15" i="39"/>
  <c r="J78" i="1"/>
  <c r="H14" i="39"/>
  <c r="H15" i="39"/>
  <c r="I78" i="1"/>
  <c r="G14" i="39"/>
  <c r="G15" i="39"/>
  <c r="D42" i="7"/>
  <c r="D40" i="7" s="1"/>
  <c r="S42" i="7"/>
  <c r="T36" i="7" s="1"/>
  <c r="T40" i="7" s="1"/>
  <c r="F65" i="62"/>
  <c r="T108" i="62"/>
  <c r="T107" i="62"/>
  <c r="T106" i="62"/>
  <c r="T105" i="62"/>
  <c r="T104" i="62"/>
  <c r="T103" i="62"/>
  <c r="T101" i="62"/>
  <c r="T100" i="62"/>
  <c r="T98" i="62"/>
  <c r="T97" i="62"/>
  <c r="U97" i="62" s="1"/>
  <c r="T96" i="62"/>
  <c r="T95" i="62"/>
  <c r="U95" i="62" s="1"/>
  <c r="T93" i="62"/>
  <c r="T91" i="62"/>
  <c r="T90" i="62"/>
  <c r="U90" i="62" s="1"/>
  <c r="V90" i="62" s="1"/>
  <c r="W90" i="62" s="1"/>
  <c r="T89" i="62"/>
  <c r="T88" i="62"/>
  <c r="U88" i="62" s="1"/>
  <c r="V88" i="62" s="1"/>
  <c r="W88" i="62" s="1"/>
  <c r="X88" i="62" s="1"/>
  <c r="Y88" i="62" s="1"/>
  <c r="T87" i="62"/>
  <c r="T86" i="62"/>
  <c r="U86" i="62" s="1"/>
  <c r="V86" i="62" s="1"/>
  <c r="W86" i="62" s="1"/>
  <c r="X86" i="62" s="1"/>
  <c r="Y86" i="62" s="1"/>
  <c r="T85" i="62"/>
  <c r="U85" i="62" s="1"/>
  <c r="V85" i="62" s="1"/>
  <c r="T84" i="62"/>
  <c r="U84" i="62" s="1"/>
  <c r="V84" i="62" s="1"/>
  <c r="W84" i="62" s="1"/>
  <c r="X84" i="62" s="1"/>
  <c r="Y84" i="62" s="1"/>
  <c r="T82" i="62"/>
  <c r="U82" i="62" s="1"/>
  <c r="V82" i="62" s="1"/>
  <c r="W82" i="62" s="1"/>
  <c r="X82" i="62" s="1"/>
  <c r="Y82" i="62" s="1"/>
  <c r="T81" i="62"/>
  <c r="U81" i="62" s="1"/>
  <c r="V81" i="62" s="1"/>
  <c r="W81" i="62" s="1"/>
  <c r="X81" i="62" s="1"/>
  <c r="Y81" i="62" s="1"/>
  <c r="T78" i="62"/>
  <c r="U78" i="62" s="1"/>
  <c r="T77" i="62"/>
  <c r="T75" i="62"/>
  <c r="U75" i="62" s="1"/>
  <c r="V75" i="62" s="1"/>
  <c r="W75" i="62" s="1"/>
  <c r="X75" i="62" s="1"/>
  <c r="Y75" i="62" s="1"/>
  <c r="T73" i="62"/>
  <c r="T72" i="62"/>
  <c r="U72" i="62" s="1"/>
  <c r="V72" i="62" s="1"/>
  <c r="W72" i="62" s="1"/>
  <c r="X72" i="62" s="1"/>
  <c r="Y72" i="62" s="1"/>
  <c r="T70" i="62"/>
  <c r="U70" i="62" s="1"/>
  <c r="T69" i="62"/>
  <c r="T68" i="62"/>
  <c r="U68" i="62" s="1"/>
  <c r="T66" i="62"/>
  <c r="U66" i="62" s="1"/>
  <c r="V66" i="62" s="1"/>
  <c r="W66" i="62" s="1"/>
  <c r="X66" i="62" s="1"/>
  <c r="Y66" i="62" s="1"/>
  <c r="T65" i="62"/>
  <c r="T63" i="62"/>
  <c r="U63" i="62" s="1"/>
  <c r="V63" i="62" s="1"/>
  <c r="W63" i="62" s="1"/>
  <c r="X63" i="62" s="1"/>
  <c r="Y63" i="62" s="1"/>
  <c r="T62" i="62"/>
  <c r="M108" i="62"/>
  <c r="M107" i="62"/>
  <c r="M106" i="62"/>
  <c r="M105" i="62"/>
  <c r="M104" i="62"/>
  <c r="M103" i="62"/>
  <c r="M101" i="62"/>
  <c r="M100" i="62"/>
  <c r="M98" i="62"/>
  <c r="N98" i="62" s="1"/>
  <c r="M97" i="62"/>
  <c r="M96" i="62"/>
  <c r="N96" i="62" s="1"/>
  <c r="M95" i="62"/>
  <c r="N95" i="62" s="1"/>
  <c r="M93" i="62"/>
  <c r="M91" i="62"/>
  <c r="M90" i="62"/>
  <c r="N90" i="62" s="1"/>
  <c r="O90" i="62" s="1"/>
  <c r="P90" i="62" s="1"/>
  <c r="Q90" i="62" s="1"/>
  <c r="R90" i="62" s="1"/>
  <c r="M89" i="62"/>
  <c r="M88" i="62"/>
  <c r="N88" i="62" s="1"/>
  <c r="O88" i="62" s="1"/>
  <c r="P88" i="62" s="1"/>
  <c r="Q88" i="62" s="1"/>
  <c r="R88" i="62" s="1"/>
  <c r="M87" i="62"/>
  <c r="M86" i="62"/>
  <c r="N86" i="62" s="1"/>
  <c r="O86" i="62" s="1"/>
  <c r="P86" i="62" s="1"/>
  <c r="Q86" i="62" s="1"/>
  <c r="R86" i="62" s="1"/>
  <c r="M85" i="62"/>
  <c r="M84" i="62"/>
  <c r="N84" i="62" s="1"/>
  <c r="O84" i="62" s="1"/>
  <c r="P84" i="62" s="1"/>
  <c r="Q84" i="62" s="1"/>
  <c r="R84" i="62" s="1"/>
  <c r="M82" i="62"/>
  <c r="N82" i="62" s="1"/>
  <c r="O82" i="62" s="1"/>
  <c r="P82" i="62" s="1"/>
  <c r="Q82" i="62" s="1"/>
  <c r="R82" i="62" s="1"/>
  <c r="M81" i="62"/>
  <c r="N81" i="62" s="1"/>
  <c r="O81" i="62" s="1"/>
  <c r="P81" i="62" s="1"/>
  <c r="Q81" i="62" s="1"/>
  <c r="R81" i="62" s="1"/>
  <c r="M78" i="62"/>
  <c r="N78" i="62" s="1"/>
  <c r="M77" i="62"/>
  <c r="M75" i="62"/>
  <c r="N75" i="62" s="1"/>
  <c r="O75" i="62" s="1"/>
  <c r="P75" i="62" s="1"/>
  <c r="Q75" i="62" s="1"/>
  <c r="R75" i="62" s="1"/>
  <c r="M73" i="62"/>
  <c r="M72" i="62"/>
  <c r="N72" i="62" s="1"/>
  <c r="O72" i="62" s="1"/>
  <c r="P72" i="62" s="1"/>
  <c r="Q72" i="62" s="1"/>
  <c r="R72" i="62" s="1"/>
  <c r="M70" i="62"/>
  <c r="N70" i="62" s="1"/>
  <c r="M69" i="62"/>
  <c r="M68" i="62"/>
  <c r="N68" i="62" s="1"/>
  <c r="M66" i="62"/>
  <c r="M65" i="62"/>
  <c r="N65" i="62" s="1"/>
  <c r="M63" i="62"/>
  <c r="M62" i="62"/>
  <c r="F108" i="62"/>
  <c r="F107" i="62"/>
  <c r="F106" i="62"/>
  <c r="F105" i="62"/>
  <c r="F104" i="62"/>
  <c r="F103" i="62"/>
  <c r="F101" i="62"/>
  <c r="F100" i="62"/>
  <c r="F98" i="62"/>
  <c r="G98" i="62" s="1"/>
  <c r="F97" i="62"/>
  <c r="F96" i="62"/>
  <c r="G96" i="62" s="1"/>
  <c r="F95" i="62"/>
  <c r="F93" i="62"/>
  <c r="F91" i="62"/>
  <c r="F90" i="62"/>
  <c r="G90" i="62" s="1"/>
  <c r="F89" i="62"/>
  <c r="F88" i="62"/>
  <c r="G88" i="62" s="1"/>
  <c r="F87" i="62"/>
  <c r="F86" i="62"/>
  <c r="G86" i="62" s="1"/>
  <c r="F85" i="62"/>
  <c r="F84" i="62"/>
  <c r="G84" i="62" s="1"/>
  <c r="F82" i="62"/>
  <c r="F81" i="62"/>
  <c r="F78" i="62"/>
  <c r="G78" i="62" s="1"/>
  <c r="F77" i="62"/>
  <c r="F75" i="62"/>
  <c r="G75" i="62" s="1"/>
  <c r="F73" i="62"/>
  <c r="G73" i="62" s="1"/>
  <c r="F72" i="62"/>
  <c r="F70" i="62"/>
  <c r="G70" i="62" s="1"/>
  <c r="F69" i="62"/>
  <c r="F68" i="62"/>
  <c r="G68" i="62" s="1"/>
  <c r="F66" i="62"/>
  <c r="G66" i="62" s="1"/>
  <c r="F63" i="62"/>
  <c r="G63" i="62" s="1"/>
  <c r="H63" i="62" s="1"/>
  <c r="I63" i="62" s="1"/>
  <c r="J63" i="62" s="1"/>
  <c r="K63" i="62" s="1"/>
  <c r="G62" i="62"/>
  <c r="Z58" i="51"/>
  <c r="Z57" i="51"/>
  <c r="Z56" i="51"/>
  <c r="Z55" i="51"/>
  <c r="Z54" i="51"/>
  <c r="Z53" i="51"/>
  <c r="Z51" i="51"/>
  <c r="Z50" i="51"/>
  <c r="Z48" i="51"/>
  <c r="Z47" i="51"/>
  <c r="Z46" i="51"/>
  <c r="Z45" i="51"/>
  <c r="Z43" i="51"/>
  <c r="Z41" i="51"/>
  <c r="Z40" i="51"/>
  <c r="Z39" i="51"/>
  <c r="Z38" i="51"/>
  <c r="Z37" i="51"/>
  <c r="Z36" i="51"/>
  <c r="Z35" i="51"/>
  <c r="Z34" i="51"/>
  <c r="Z32" i="51"/>
  <c r="Z28" i="51"/>
  <c r="Z27" i="51"/>
  <c r="Z25" i="51"/>
  <c r="Z23" i="51"/>
  <c r="Z22" i="51"/>
  <c r="Z20" i="51"/>
  <c r="Z19" i="51"/>
  <c r="Z18" i="51"/>
  <c r="Z16" i="51"/>
  <c r="Z15" i="51"/>
  <c r="Z13" i="51"/>
  <c r="Z12" i="51"/>
  <c r="S58" i="51"/>
  <c r="S57" i="51"/>
  <c r="S56" i="51"/>
  <c r="S55" i="51"/>
  <c r="S54" i="51"/>
  <c r="S53" i="51"/>
  <c r="S51" i="51"/>
  <c r="S50" i="51"/>
  <c r="S48" i="51"/>
  <c r="S47" i="51"/>
  <c r="S46" i="51"/>
  <c r="S45" i="51"/>
  <c r="S43" i="51"/>
  <c r="S41" i="51"/>
  <c r="S40" i="51"/>
  <c r="S39" i="51"/>
  <c r="S38" i="51"/>
  <c r="S37" i="51"/>
  <c r="S36" i="51"/>
  <c r="S35" i="51"/>
  <c r="S34" i="51"/>
  <c r="S32" i="51"/>
  <c r="S28" i="51"/>
  <c r="S27" i="51"/>
  <c r="S25" i="51"/>
  <c r="S23" i="51"/>
  <c r="S22" i="51"/>
  <c r="S20" i="51"/>
  <c r="S19" i="51"/>
  <c r="S18" i="51"/>
  <c r="S16" i="51"/>
  <c r="S15" i="51"/>
  <c r="S13" i="51"/>
  <c r="S12" i="51"/>
  <c r="L58" i="51"/>
  <c r="L57" i="51"/>
  <c r="L56" i="51"/>
  <c r="L55" i="51"/>
  <c r="L54" i="51"/>
  <c r="L53" i="51"/>
  <c r="L51" i="51"/>
  <c r="L50" i="51"/>
  <c r="L48" i="51"/>
  <c r="L47" i="51"/>
  <c r="L46" i="51"/>
  <c r="L45" i="51"/>
  <c r="L43" i="51"/>
  <c r="L41" i="51"/>
  <c r="L40" i="51"/>
  <c r="L39" i="51"/>
  <c r="L38" i="51"/>
  <c r="L37" i="51"/>
  <c r="L36" i="51"/>
  <c r="L35" i="51"/>
  <c r="L34" i="51"/>
  <c r="L32" i="51"/>
  <c r="L28" i="51"/>
  <c r="L27" i="51"/>
  <c r="L25" i="51"/>
  <c r="L23" i="51"/>
  <c r="L22" i="51"/>
  <c r="L20" i="51"/>
  <c r="L19" i="51"/>
  <c r="L18" i="51"/>
  <c r="L16" i="51"/>
  <c r="L15" i="51"/>
  <c r="L13" i="51"/>
  <c r="L12" i="51"/>
  <c r="E58" i="51"/>
  <c r="E57" i="51"/>
  <c r="E56" i="51"/>
  <c r="E55" i="51"/>
  <c r="E54" i="51"/>
  <c r="E53" i="51"/>
  <c r="E51" i="51"/>
  <c r="E50" i="51"/>
  <c r="E48" i="51"/>
  <c r="E47" i="51"/>
  <c r="E46" i="51"/>
  <c r="E45" i="51"/>
  <c r="E43" i="51"/>
  <c r="E41" i="51"/>
  <c r="E40" i="51"/>
  <c r="E39" i="51"/>
  <c r="E38" i="51"/>
  <c r="E37" i="51"/>
  <c r="E36" i="51"/>
  <c r="E35" i="51"/>
  <c r="E34" i="51"/>
  <c r="E32" i="51"/>
  <c r="E28" i="51"/>
  <c r="E27" i="51"/>
  <c r="E25" i="51"/>
  <c r="E23" i="51"/>
  <c r="E22" i="51"/>
  <c r="E20" i="51"/>
  <c r="E19" i="51"/>
  <c r="E18" i="51"/>
  <c r="E16" i="51"/>
  <c r="E15" i="51"/>
  <c r="E13" i="51"/>
  <c r="E12" i="51"/>
  <c r="S94" i="62"/>
  <c r="L94" i="62"/>
  <c r="S80" i="62"/>
  <c r="S79" i="62" s="1"/>
  <c r="L80" i="62"/>
  <c r="L79" i="62" s="1"/>
  <c r="S74" i="62"/>
  <c r="L74" i="62"/>
  <c r="S71" i="62"/>
  <c r="L71" i="62"/>
  <c r="S64" i="62"/>
  <c r="L64" i="62"/>
  <c r="S61" i="62"/>
  <c r="L61" i="62"/>
  <c r="K9" i="62"/>
  <c r="R9" i="62" s="1"/>
  <c r="Y9" i="62" s="1"/>
  <c r="AF9" i="62" s="1"/>
  <c r="J9" i="62"/>
  <c r="Q9" i="62" s="1"/>
  <c r="X9" i="62" s="1"/>
  <c r="AE9" i="62" s="1"/>
  <c r="I9" i="62"/>
  <c r="P9" i="62" s="1"/>
  <c r="W9" i="62" s="1"/>
  <c r="AD9" i="62" s="1"/>
  <c r="H9" i="62"/>
  <c r="O9" i="62" s="1"/>
  <c r="V9" i="62" s="1"/>
  <c r="AC9" i="62" s="1"/>
  <c r="G9" i="62"/>
  <c r="N9" i="62" s="1"/>
  <c r="U9" i="62" s="1"/>
  <c r="AB9" i="62" s="1"/>
  <c r="F9" i="62"/>
  <c r="M9" i="62" s="1"/>
  <c r="T9" i="62" s="1"/>
  <c r="AA9" i="62" s="1"/>
  <c r="E9" i="62"/>
  <c r="L9" i="62" s="1"/>
  <c r="S9" i="62" s="1"/>
  <c r="Z9" i="62" s="1"/>
  <c r="AK9" i="54"/>
  <c r="AK87" i="54" s="1"/>
  <c r="AI9" i="54"/>
  <c r="AI87" i="54" s="1"/>
  <c r="AG9" i="54"/>
  <c r="AG87" i="54" s="1"/>
  <c r="AE9" i="54"/>
  <c r="AE87" i="54" s="1"/>
  <c r="AC9" i="54"/>
  <c r="AC87" i="54" s="1"/>
  <c r="AA9" i="54"/>
  <c r="AA87" i="54" s="1"/>
  <c r="Y9" i="54"/>
  <c r="Y87" i="54" s="1"/>
  <c r="W9" i="54"/>
  <c r="W87" i="54" s="1"/>
  <c r="U9" i="54"/>
  <c r="U87" i="54" s="1"/>
  <c r="S9" i="54"/>
  <c r="S87" i="54" s="1"/>
  <c r="Q9" i="54"/>
  <c r="Q87" i="54" s="1"/>
  <c r="P9" i="54"/>
  <c r="P87" i="54" s="1"/>
  <c r="O9" i="54"/>
  <c r="O87" i="54" s="1"/>
  <c r="M9" i="54"/>
  <c r="M87" i="54" s="1"/>
  <c r="K9" i="54"/>
  <c r="K87" i="54" s="1"/>
  <c r="I9" i="54"/>
  <c r="I87" i="54" s="1"/>
  <c r="G9" i="54"/>
  <c r="G87" i="54" s="1"/>
  <c r="E9" i="54"/>
  <c r="E87" i="54" s="1"/>
  <c r="D9" i="54"/>
  <c r="D87" i="54" s="1"/>
  <c r="C9" i="54"/>
  <c r="C87" i="54" s="1"/>
  <c r="I10" i="53"/>
  <c r="I90" i="53" s="1"/>
  <c r="H10" i="53"/>
  <c r="H90" i="53" s="1"/>
  <c r="G10" i="53"/>
  <c r="G90" i="53" s="1"/>
  <c r="F10" i="53"/>
  <c r="F90" i="53" s="1"/>
  <c r="E10" i="53"/>
  <c r="E90" i="53" s="1"/>
  <c r="D10" i="53"/>
  <c r="D90" i="53" s="1"/>
  <c r="C10" i="53"/>
  <c r="C90" i="53" s="1"/>
  <c r="I9" i="60"/>
  <c r="P9" i="60" s="1"/>
  <c r="W9" i="60" s="1"/>
  <c r="AD9" i="60" s="1"/>
  <c r="H9" i="60"/>
  <c r="O9" i="60" s="1"/>
  <c r="V9" i="60" s="1"/>
  <c r="AC9" i="60" s="1"/>
  <c r="G9" i="60"/>
  <c r="N9" i="60" s="1"/>
  <c r="U9" i="60" s="1"/>
  <c r="AB9" i="60" s="1"/>
  <c r="F9" i="60"/>
  <c r="M9" i="60" s="1"/>
  <c r="T9" i="60" s="1"/>
  <c r="AA9" i="60" s="1"/>
  <c r="E9" i="60"/>
  <c r="L9" i="60" s="1"/>
  <c r="S9" i="60" s="1"/>
  <c r="Z9" i="60" s="1"/>
  <c r="D9" i="60"/>
  <c r="K9" i="60" s="1"/>
  <c r="R9" i="60" s="1"/>
  <c r="Y9" i="60" s="1"/>
  <c r="C9" i="60"/>
  <c r="J9" i="60" s="1"/>
  <c r="Q9" i="60" s="1"/>
  <c r="X9" i="60" s="1"/>
  <c r="K7" i="50"/>
  <c r="J7" i="50"/>
  <c r="I7" i="50"/>
  <c r="H7" i="50"/>
  <c r="G7" i="50"/>
  <c r="F7" i="50"/>
  <c r="E7" i="50"/>
  <c r="K9" i="51"/>
  <c r="R9" i="51" s="1"/>
  <c r="Y9" i="51" s="1"/>
  <c r="J9" i="51"/>
  <c r="Q9" i="51" s="1"/>
  <c r="X9" i="51" s="1"/>
  <c r="I9" i="51"/>
  <c r="P9" i="51" s="1"/>
  <c r="W9" i="51" s="1"/>
  <c r="H9" i="51"/>
  <c r="O9" i="51" s="1"/>
  <c r="V9" i="51" s="1"/>
  <c r="G9" i="51"/>
  <c r="N9" i="51" s="1"/>
  <c r="U9" i="51" s="1"/>
  <c r="F9" i="51"/>
  <c r="M9" i="51" s="1"/>
  <c r="T9" i="51" s="1"/>
  <c r="E9" i="51"/>
  <c r="A3" i="62"/>
  <c r="C44" i="53"/>
  <c r="J44" i="53"/>
  <c r="M44" i="53" s="1"/>
  <c r="Q44" i="53"/>
  <c r="L40" i="7" l="1"/>
  <c r="K40" i="7"/>
  <c r="L33" i="51"/>
  <c r="N17" i="53"/>
  <c r="N29" i="39" s="1"/>
  <c r="O17" i="53"/>
  <c r="O29" i="39" s="1"/>
  <c r="P17" i="53"/>
  <c r="P29" i="39" s="1"/>
  <c r="T83" i="62"/>
  <c r="Z33" i="51"/>
  <c r="E33" i="51"/>
  <c r="S33" i="51"/>
  <c r="F83" i="62"/>
  <c r="N91" i="62"/>
  <c r="M83" i="62"/>
  <c r="J29" i="39"/>
  <c r="G93" i="62"/>
  <c r="G101" i="62"/>
  <c r="H101" i="62" s="1"/>
  <c r="O78" i="62"/>
  <c r="O95" i="62"/>
  <c r="P95" i="62" s="1"/>
  <c r="M99" i="62"/>
  <c r="V68" i="62"/>
  <c r="V70" i="62"/>
  <c r="U93" i="62"/>
  <c r="U101" i="62"/>
  <c r="U104" i="62"/>
  <c r="U106" i="62"/>
  <c r="U108" i="62"/>
  <c r="H62" i="62"/>
  <c r="O65" i="62"/>
  <c r="O68" i="62"/>
  <c r="O70" i="62"/>
  <c r="N93" i="62"/>
  <c r="O96" i="62"/>
  <c r="O98" i="62"/>
  <c r="N101" i="62"/>
  <c r="N104" i="62"/>
  <c r="N106" i="62"/>
  <c r="N108" i="62"/>
  <c r="V78" i="62"/>
  <c r="V95" i="62"/>
  <c r="V97" i="62"/>
  <c r="F99" i="62"/>
  <c r="E49" i="51"/>
  <c r="L49" i="51"/>
  <c r="S49" i="51"/>
  <c r="Z49" i="51"/>
  <c r="T99" i="62"/>
  <c r="AT9" i="60"/>
  <c r="AF9" i="60"/>
  <c r="AM9" i="60" s="1"/>
  <c r="AY9" i="60"/>
  <c r="AK9" i="60"/>
  <c r="AR9" i="60" s="1"/>
  <c r="AV9" i="60"/>
  <c r="AH9" i="60"/>
  <c r="AO9" i="60" s="1"/>
  <c r="AS9" i="60"/>
  <c r="AE9" i="60"/>
  <c r="AL9" i="60" s="1"/>
  <c r="AW9" i="60"/>
  <c r="AI9" i="60"/>
  <c r="AP9" i="60" s="1"/>
  <c r="AU9" i="60"/>
  <c r="AG9" i="60"/>
  <c r="AN9" i="60" s="1"/>
  <c r="X90" i="62"/>
  <c r="Y90" i="62" s="1"/>
  <c r="AX9" i="60"/>
  <c r="AJ9" i="60"/>
  <c r="AQ9" i="60" s="1"/>
  <c r="G69" i="62"/>
  <c r="G65" i="62"/>
  <c r="G64" i="62" s="1"/>
  <c r="E36" i="7"/>
  <c r="M42" i="7"/>
  <c r="N36" i="7" s="1"/>
  <c r="S67" i="62"/>
  <c r="E24" i="51"/>
  <c r="U44" i="53"/>
  <c r="O44" i="53"/>
  <c r="G44" i="53"/>
  <c r="E44" i="53"/>
  <c r="N44" i="53"/>
  <c r="L44" i="53"/>
  <c r="P44" i="53"/>
  <c r="W44" i="53"/>
  <c r="E73" i="51"/>
  <c r="L67" i="62"/>
  <c r="I44" i="53"/>
  <c r="T42" i="7"/>
  <c r="U36" i="7" s="1"/>
  <c r="U40" i="7" s="1"/>
  <c r="H70" i="62"/>
  <c r="H75" i="62"/>
  <c r="H86" i="62"/>
  <c r="H90" i="62"/>
  <c r="H96" i="62"/>
  <c r="G106" i="62"/>
  <c r="N62" i="62"/>
  <c r="N73" i="62"/>
  <c r="U77" i="62"/>
  <c r="V77" i="62" s="1"/>
  <c r="U87" i="62"/>
  <c r="U91" i="62"/>
  <c r="U103" i="62"/>
  <c r="U107" i="62"/>
  <c r="S44" i="53"/>
  <c r="H66" i="62"/>
  <c r="G72" i="62"/>
  <c r="G77" i="62"/>
  <c r="G82" i="62"/>
  <c r="G87" i="62"/>
  <c r="G91" i="62"/>
  <c r="G97" i="62"/>
  <c r="G103" i="62"/>
  <c r="G107" i="62"/>
  <c r="N63" i="62"/>
  <c r="O63" i="62" s="1"/>
  <c r="N69" i="62"/>
  <c r="N85" i="62"/>
  <c r="O85" i="62" s="1"/>
  <c r="N89" i="62"/>
  <c r="O89" i="62" s="1"/>
  <c r="N100" i="62"/>
  <c r="N105" i="62"/>
  <c r="U62" i="62"/>
  <c r="U73" i="62"/>
  <c r="U98" i="62"/>
  <c r="H68" i="62"/>
  <c r="H73" i="62"/>
  <c r="H78" i="62"/>
  <c r="H84" i="62"/>
  <c r="H88" i="62"/>
  <c r="H98" i="62"/>
  <c r="G104" i="62"/>
  <c r="G108" i="62"/>
  <c r="U69" i="62"/>
  <c r="W85" i="62"/>
  <c r="X85" i="62" s="1"/>
  <c r="U89" i="62"/>
  <c r="V89" i="62" s="1"/>
  <c r="U100" i="62"/>
  <c r="U105" i="62"/>
  <c r="G81" i="62"/>
  <c r="G85" i="62"/>
  <c r="G89" i="62"/>
  <c r="G95" i="62"/>
  <c r="G100" i="62"/>
  <c r="G105" i="62"/>
  <c r="N66" i="62"/>
  <c r="N77" i="62"/>
  <c r="N87" i="62"/>
  <c r="N97" i="62"/>
  <c r="N103" i="62"/>
  <c r="N107" i="62"/>
  <c r="O107" i="62" s="1"/>
  <c r="U65" i="62"/>
  <c r="U96" i="62"/>
  <c r="E60" i="62"/>
  <c r="F61" i="62"/>
  <c r="F64" i="62"/>
  <c r="M64" i="62"/>
  <c r="T64" i="62"/>
  <c r="V44" i="53"/>
  <c r="T44" i="53"/>
  <c r="H44" i="53"/>
  <c r="F44" i="53"/>
  <c r="M40" i="7" l="1"/>
  <c r="G83" i="62"/>
  <c r="U83" i="62"/>
  <c r="O91" i="62"/>
  <c r="N83" i="62"/>
  <c r="L60" i="62"/>
  <c r="S60" i="62"/>
  <c r="E42" i="7"/>
  <c r="F36" i="7" s="1"/>
  <c r="V96" i="62"/>
  <c r="O97" i="62"/>
  <c r="O94" i="62" s="1"/>
  <c r="G99" i="62"/>
  <c r="O105" i="62"/>
  <c r="P105" i="62" s="1"/>
  <c r="Q95" i="62"/>
  <c r="H65" i="62"/>
  <c r="H64" i="62" s="1"/>
  <c r="V65" i="62"/>
  <c r="O103" i="62"/>
  <c r="V105" i="62"/>
  <c r="V69" i="62"/>
  <c r="H93" i="62"/>
  <c r="V98" i="62"/>
  <c r="W98" i="62" s="1"/>
  <c r="O69" i="62"/>
  <c r="H69" i="62"/>
  <c r="W97" i="62"/>
  <c r="W95" i="62"/>
  <c r="W78" i="62"/>
  <c r="O108" i="62"/>
  <c r="O106" i="62"/>
  <c r="O104" i="62"/>
  <c r="O101" i="62"/>
  <c r="P98" i="62"/>
  <c r="P96" i="62"/>
  <c r="O93" i="62"/>
  <c r="P70" i="62"/>
  <c r="P68" i="62"/>
  <c r="P65" i="62"/>
  <c r="I62" i="62"/>
  <c r="I61" i="62" s="1"/>
  <c r="V108" i="62"/>
  <c r="V106" i="62"/>
  <c r="V104" i="62"/>
  <c r="V101" i="62"/>
  <c r="V93" i="62"/>
  <c r="W70" i="62"/>
  <c r="W68" i="62"/>
  <c r="P78" i="62"/>
  <c r="V73" i="62"/>
  <c r="W73" i="62" s="1"/>
  <c r="V100" i="62"/>
  <c r="W100" i="62" s="1"/>
  <c r="U99" i="62"/>
  <c r="O100" i="62"/>
  <c r="N99" i="62"/>
  <c r="N42" i="7"/>
  <c r="O36" i="7" s="1"/>
  <c r="U42" i="7"/>
  <c r="V36" i="7" s="1"/>
  <c r="V40" i="7" s="1"/>
  <c r="H105" i="62"/>
  <c r="H85" i="62"/>
  <c r="V107" i="62"/>
  <c r="W77" i="62"/>
  <c r="W74" i="62" s="1"/>
  <c r="I101" i="62"/>
  <c r="P107" i="62"/>
  <c r="O87" i="62"/>
  <c r="H100" i="62"/>
  <c r="H81" i="62"/>
  <c r="V103" i="62"/>
  <c r="O73" i="62"/>
  <c r="I96" i="62"/>
  <c r="W96" i="62"/>
  <c r="O77" i="62"/>
  <c r="O74" i="62" s="1"/>
  <c r="H95" i="62"/>
  <c r="V91" i="62"/>
  <c r="O62" i="62"/>
  <c r="I90" i="62"/>
  <c r="O66" i="62"/>
  <c r="N64" i="62"/>
  <c r="H89" i="62"/>
  <c r="V87" i="62"/>
  <c r="H106" i="62"/>
  <c r="I86" i="62"/>
  <c r="I75" i="62"/>
  <c r="W89" i="62"/>
  <c r="H108" i="62"/>
  <c r="I98" i="62"/>
  <c r="I88" i="62"/>
  <c r="I78" i="62"/>
  <c r="I68" i="62"/>
  <c r="V62" i="62"/>
  <c r="P89" i="62"/>
  <c r="H107" i="62"/>
  <c r="H97" i="62"/>
  <c r="H87" i="62"/>
  <c r="H77" i="62"/>
  <c r="I66" i="62"/>
  <c r="I70" i="62"/>
  <c r="Y85" i="62"/>
  <c r="H104" i="62"/>
  <c r="I84" i="62"/>
  <c r="I73" i="62"/>
  <c r="P85" i="62"/>
  <c r="P63" i="62"/>
  <c r="H103" i="62"/>
  <c r="H91" i="62"/>
  <c r="H82" i="62"/>
  <c r="H72" i="62"/>
  <c r="U61" i="62"/>
  <c r="N61" i="62"/>
  <c r="G61" i="62"/>
  <c r="M61" i="62"/>
  <c r="H61" i="62"/>
  <c r="T94" i="62"/>
  <c r="M94" i="62"/>
  <c r="F94" i="62"/>
  <c r="U80" i="62"/>
  <c r="V80" i="62"/>
  <c r="N80" i="62"/>
  <c r="O80" i="62"/>
  <c r="G80" i="62"/>
  <c r="U74" i="62"/>
  <c r="V74" i="62"/>
  <c r="N74" i="62"/>
  <c r="G74" i="62"/>
  <c r="U71" i="62"/>
  <c r="N71" i="62"/>
  <c r="G71" i="62"/>
  <c r="U64" i="62"/>
  <c r="T61" i="62"/>
  <c r="U94" i="62"/>
  <c r="N94" i="62"/>
  <c r="G94" i="62"/>
  <c r="W80" i="62"/>
  <c r="T80" i="62"/>
  <c r="T79" i="62" s="1"/>
  <c r="M80" i="62"/>
  <c r="M79" i="62" s="1"/>
  <c r="F80" i="62"/>
  <c r="F79" i="62" s="1"/>
  <c r="T74" i="62"/>
  <c r="M74" i="62"/>
  <c r="F74" i="62"/>
  <c r="T71" i="62"/>
  <c r="M71" i="62"/>
  <c r="F71" i="62"/>
  <c r="E40" i="7" l="1"/>
  <c r="N40" i="7"/>
  <c r="G79" i="62"/>
  <c r="V83" i="62"/>
  <c r="V79" i="62" s="1"/>
  <c r="N79" i="62"/>
  <c r="U79" i="62"/>
  <c r="H83" i="62"/>
  <c r="O83" i="62"/>
  <c r="O79" i="62" s="1"/>
  <c r="P91" i="62"/>
  <c r="V94" i="62"/>
  <c r="F42" i="7"/>
  <c r="G36" i="7" s="1"/>
  <c r="U67" i="62"/>
  <c r="R95" i="62"/>
  <c r="P69" i="62"/>
  <c r="Q69" i="62" s="1"/>
  <c r="H99" i="62"/>
  <c r="O99" i="62"/>
  <c r="V99" i="62"/>
  <c r="X68" i="62"/>
  <c r="X70" i="62"/>
  <c r="W93" i="62"/>
  <c r="W101" i="62"/>
  <c r="W104" i="62"/>
  <c r="W106" i="62"/>
  <c r="W108" i="62"/>
  <c r="J62" i="62"/>
  <c r="Q65" i="62"/>
  <c r="Q68" i="62"/>
  <c r="Q70" i="62"/>
  <c r="P93" i="62"/>
  <c r="Q96" i="62"/>
  <c r="Q98" i="62"/>
  <c r="P101" i="62"/>
  <c r="P104" i="62"/>
  <c r="P106" i="62"/>
  <c r="P108" i="62"/>
  <c r="X78" i="62"/>
  <c r="X95" i="62"/>
  <c r="X97" i="62"/>
  <c r="V64" i="62"/>
  <c r="V71" i="62"/>
  <c r="V67" i="62" s="1"/>
  <c r="P100" i="62"/>
  <c r="Q100" i="62" s="1"/>
  <c r="I93" i="62"/>
  <c r="V61" i="62"/>
  <c r="W69" i="62"/>
  <c r="X69" i="62" s="1"/>
  <c r="W105" i="62"/>
  <c r="I69" i="62"/>
  <c r="P97" i="62"/>
  <c r="Q97" i="62" s="1"/>
  <c r="P103" i="62"/>
  <c r="Q103" i="62" s="1"/>
  <c r="W65" i="62"/>
  <c r="W64" i="62" s="1"/>
  <c r="Q78" i="62"/>
  <c r="I65" i="62"/>
  <c r="W71" i="62"/>
  <c r="O71" i="62"/>
  <c r="O67" i="62" s="1"/>
  <c r="O42" i="7"/>
  <c r="P36" i="7" s="1"/>
  <c r="H94" i="62"/>
  <c r="G67" i="62"/>
  <c r="T67" i="62"/>
  <c r="N67" i="62"/>
  <c r="F67" i="62"/>
  <c r="M67" i="62"/>
  <c r="W94" i="62"/>
  <c r="V42" i="7"/>
  <c r="W36" i="7" s="1"/>
  <c r="W40" i="7" s="1"/>
  <c r="I82" i="62"/>
  <c r="I103" i="62"/>
  <c r="Q85" i="62"/>
  <c r="Q105" i="62"/>
  <c r="J73" i="62"/>
  <c r="I77" i="62"/>
  <c r="I97" i="62"/>
  <c r="W62" i="62"/>
  <c r="J78" i="62"/>
  <c r="J98" i="62"/>
  <c r="J75" i="62"/>
  <c r="I106" i="62"/>
  <c r="J90" i="62"/>
  <c r="W91" i="62"/>
  <c r="I95" i="62"/>
  <c r="J101" i="62"/>
  <c r="W107" i="62"/>
  <c r="I105" i="62"/>
  <c r="P66" i="62"/>
  <c r="O64" i="62"/>
  <c r="J96" i="62"/>
  <c r="W103" i="62"/>
  <c r="I100" i="62"/>
  <c r="Q107" i="62"/>
  <c r="I72" i="62"/>
  <c r="I91" i="62"/>
  <c r="Q63" i="62"/>
  <c r="X73" i="62"/>
  <c r="J84" i="62"/>
  <c r="I104" i="62"/>
  <c r="J70" i="62"/>
  <c r="J66" i="62"/>
  <c r="I87" i="62"/>
  <c r="I107" i="62"/>
  <c r="Q89" i="62"/>
  <c r="X98" i="62"/>
  <c r="J68" i="62"/>
  <c r="J88" i="62"/>
  <c r="I108" i="62"/>
  <c r="X89" i="62"/>
  <c r="J86" i="62"/>
  <c r="W87" i="62"/>
  <c r="I89" i="62"/>
  <c r="P62" i="62"/>
  <c r="P77" i="62"/>
  <c r="X96" i="62"/>
  <c r="X77" i="62"/>
  <c r="I85" i="62"/>
  <c r="P80" i="62"/>
  <c r="O61" i="62"/>
  <c r="H71" i="62"/>
  <c r="H74" i="62"/>
  <c r="H80" i="62"/>
  <c r="P73" i="62"/>
  <c r="I81" i="62"/>
  <c r="P87" i="62"/>
  <c r="X100" i="62"/>
  <c r="H79" i="62" l="1"/>
  <c r="O40" i="7"/>
  <c r="F40" i="7"/>
  <c r="I83" i="62"/>
  <c r="W83" i="62"/>
  <c r="W79" i="62" s="1"/>
  <c r="Q91" i="62"/>
  <c r="P83" i="62"/>
  <c r="P79" i="62" s="1"/>
  <c r="F60" i="62"/>
  <c r="X65" i="62"/>
  <c r="Y65" i="62" s="1"/>
  <c r="U60" i="62"/>
  <c r="G42" i="7"/>
  <c r="G40" i="7" s="1"/>
  <c r="N60" i="62"/>
  <c r="W67" i="62"/>
  <c r="J69" i="62"/>
  <c r="K69" i="62" s="1"/>
  <c r="I99" i="62"/>
  <c r="J65" i="62"/>
  <c r="J64" i="62" s="1"/>
  <c r="P94" i="62"/>
  <c r="P99" i="62"/>
  <c r="I64" i="62"/>
  <c r="X105" i="62"/>
  <c r="J93" i="62"/>
  <c r="R78" i="62"/>
  <c r="Y97" i="62"/>
  <c r="Y95" i="62"/>
  <c r="Y78" i="62"/>
  <c r="Q108" i="62"/>
  <c r="Q106" i="62"/>
  <c r="Q104" i="62"/>
  <c r="Q101" i="62"/>
  <c r="R98" i="62"/>
  <c r="R96" i="62"/>
  <c r="Q93" i="62"/>
  <c r="R70" i="62"/>
  <c r="R68" i="62"/>
  <c r="R65" i="62"/>
  <c r="K62" i="62"/>
  <c r="J61" i="62"/>
  <c r="X108" i="62"/>
  <c r="X106" i="62"/>
  <c r="X104" i="62"/>
  <c r="X101" i="62"/>
  <c r="X99" i="62" s="1"/>
  <c r="X93" i="62"/>
  <c r="Y70" i="62"/>
  <c r="Y68" i="62"/>
  <c r="W99" i="62"/>
  <c r="T60" i="62"/>
  <c r="G60" i="62"/>
  <c r="V60" i="62"/>
  <c r="P42" i="7"/>
  <c r="P40" i="7" s="1"/>
  <c r="M60" i="62"/>
  <c r="O60" i="62"/>
  <c r="W42" i="7"/>
  <c r="K70" i="62"/>
  <c r="R63" i="62"/>
  <c r="J72" i="62"/>
  <c r="I71" i="62"/>
  <c r="R107" i="62"/>
  <c r="J81" i="62"/>
  <c r="I80" i="62"/>
  <c r="I79" i="62" s="1"/>
  <c r="Q73" i="62"/>
  <c r="P71" i="62"/>
  <c r="Y96" i="62"/>
  <c r="X94" i="62"/>
  <c r="J89" i="62"/>
  <c r="K86" i="62"/>
  <c r="Y89" i="62"/>
  <c r="K88" i="62"/>
  <c r="Y98" i="62"/>
  <c r="J107" i="62"/>
  <c r="K84" i="62"/>
  <c r="Y73" i="62"/>
  <c r="X71" i="62"/>
  <c r="K96" i="62"/>
  <c r="J105" i="62"/>
  <c r="X107" i="62"/>
  <c r="R103" i="62"/>
  <c r="X91" i="62"/>
  <c r="K75" i="62"/>
  <c r="Y69" i="62"/>
  <c r="K78" i="62"/>
  <c r="X62" i="62"/>
  <c r="W61" i="62"/>
  <c r="J97" i="62"/>
  <c r="Q80" i="62"/>
  <c r="K73" i="62"/>
  <c r="R105" i="62"/>
  <c r="J103" i="62"/>
  <c r="K66" i="62"/>
  <c r="J91" i="62"/>
  <c r="Q66" i="62"/>
  <c r="P64" i="62"/>
  <c r="Q87" i="62"/>
  <c r="R97" i="62"/>
  <c r="Q94" i="62"/>
  <c r="H67" i="62"/>
  <c r="J85" i="62"/>
  <c r="Y77" i="62"/>
  <c r="X74" i="62"/>
  <c r="Q77" i="62"/>
  <c r="P74" i="62"/>
  <c r="Q62" i="62"/>
  <c r="P61" i="62"/>
  <c r="X87" i="62"/>
  <c r="J108" i="62"/>
  <c r="K68" i="62"/>
  <c r="R89" i="62"/>
  <c r="J87" i="62"/>
  <c r="J104" i="62"/>
  <c r="J100" i="62"/>
  <c r="X103" i="62"/>
  <c r="X80" i="62"/>
  <c r="X64" i="62"/>
  <c r="K101" i="62"/>
  <c r="J95" i="62"/>
  <c r="I94" i="62"/>
  <c r="K90" i="62"/>
  <c r="J106" i="62"/>
  <c r="Y105" i="62"/>
  <c r="K98" i="62"/>
  <c r="R69" i="62"/>
  <c r="J77" i="62"/>
  <c r="J74" i="62" s="1"/>
  <c r="I74" i="62"/>
  <c r="R85" i="62"/>
  <c r="J82" i="62"/>
  <c r="Y100" i="62"/>
  <c r="R100" i="62"/>
  <c r="J83" i="62" l="1"/>
  <c r="X83" i="62"/>
  <c r="X79" i="62" s="1"/>
  <c r="Q83" i="62"/>
  <c r="Q79" i="62" s="1"/>
  <c r="R91" i="62"/>
  <c r="H36" i="7"/>
  <c r="H42" i="7" s="1"/>
  <c r="I36" i="7" s="1"/>
  <c r="J99" i="62"/>
  <c r="K61" i="62"/>
  <c r="R93" i="62"/>
  <c r="R101" i="62"/>
  <c r="R104" i="62"/>
  <c r="R106" i="62"/>
  <c r="R108" i="62"/>
  <c r="K65" i="62"/>
  <c r="K93" i="62"/>
  <c r="Y93" i="62"/>
  <c r="Y101" i="62"/>
  <c r="Y104" i="62"/>
  <c r="Y106" i="62"/>
  <c r="Y108" i="62"/>
  <c r="Q99" i="62"/>
  <c r="H60" i="62"/>
  <c r="K82" i="62"/>
  <c r="K106" i="62"/>
  <c r="Y64" i="62"/>
  <c r="K104" i="62"/>
  <c r="K108" i="62"/>
  <c r="R62" i="62"/>
  <c r="Q61" i="62"/>
  <c r="R94" i="62"/>
  <c r="R80" i="62"/>
  <c r="P67" i="62"/>
  <c r="P60" i="62" s="1"/>
  <c r="Y103" i="62"/>
  <c r="Y74" i="62"/>
  <c r="R66" i="62"/>
  <c r="Q64" i="62"/>
  <c r="Y71" i="62"/>
  <c r="K81" i="62"/>
  <c r="J80" i="62"/>
  <c r="I67" i="62"/>
  <c r="K77" i="62"/>
  <c r="K87" i="62"/>
  <c r="R77" i="62"/>
  <c r="Q74" i="62"/>
  <c r="K107" i="62"/>
  <c r="K89" i="62"/>
  <c r="R73" i="62"/>
  <c r="Q71" i="62"/>
  <c r="K100" i="62"/>
  <c r="K85" i="62"/>
  <c r="K97" i="62"/>
  <c r="Y94" i="62"/>
  <c r="K95" i="62"/>
  <c r="J94" i="62"/>
  <c r="R87" i="62"/>
  <c r="K103" i="62"/>
  <c r="W60" i="62"/>
  <c r="Y91" i="62"/>
  <c r="K105" i="62"/>
  <c r="Y80" i="62"/>
  <c r="Y87" i="62"/>
  <c r="K91" i="62"/>
  <c r="K83" i="62" s="1"/>
  <c r="Y62" i="62"/>
  <c r="X61" i="62"/>
  <c r="Y107" i="62"/>
  <c r="X67" i="62"/>
  <c r="K72" i="62"/>
  <c r="J71" i="62"/>
  <c r="J67" i="62" s="1"/>
  <c r="J79" i="62" l="1"/>
  <c r="J60" i="62" s="1"/>
  <c r="R83" i="62"/>
  <c r="R79" i="62" s="1"/>
  <c r="Y83" i="62"/>
  <c r="Y79" i="62" s="1"/>
  <c r="H40" i="7"/>
  <c r="I42" i="7"/>
  <c r="I40" i="7" s="1"/>
  <c r="K64" i="62"/>
  <c r="R99" i="62"/>
  <c r="K99" i="62"/>
  <c r="Y99" i="62"/>
  <c r="Q67" i="62"/>
  <c r="Q60" i="62" s="1"/>
  <c r="Y67" i="62"/>
  <c r="X60" i="62"/>
  <c r="I60" i="62"/>
  <c r="K80" i="62"/>
  <c r="K79" i="62" s="1"/>
  <c r="R61" i="62"/>
  <c r="K71" i="62"/>
  <c r="K94" i="62"/>
  <c r="R64" i="62"/>
  <c r="Y61" i="62"/>
  <c r="R71" i="62"/>
  <c r="K74" i="62"/>
  <c r="R74" i="62"/>
  <c r="G191" i="50"/>
  <c r="E257" i="50"/>
  <c r="E235" i="50"/>
  <c r="F191" i="50"/>
  <c r="AF57" i="51"/>
  <c r="AE57" i="51"/>
  <c r="AD57" i="51"/>
  <c r="AC57" i="51"/>
  <c r="AB57" i="51"/>
  <c r="AA57" i="51"/>
  <c r="Y57" i="51"/>
  <c r="X57" i="51"/>
  <c r="W57" i="51"/>
  <c r="V57" i="51"/>
  <c r="U57" i="51"/>
  <c r="T57" i="51"/>
  <c r="R57" i="51"/>
  <c r="Q57" i="51"/>
  <c r="P57" i="51"/>
  <c r="O57" i="51"/>
  <c r="N57" i="51"/>
  <c r="M57" i="51"/>
  <c r="K57" i="51"/>
  <c r="J57" i="51"/>
  <c r="I57" i="51"/>
  <c r="H57" i="51"/>
  <c r="G57" i="51"/>
  <c r="F57" i="51"/>
  <c r="R67" i="62" l="1"/>
  <c r="R60" i="62" s="1"/>
  <c r="Y60" i="62"/>
  <c r="K67" i="62"/>
  <c r="K60" i="62" l="1"/>
  <c r="L59" i="41"/>
  <c r="L69" i="41" s="1"/>
  <c r="L10" i="41"/>
  <c r="C12" i="49"/>
  <c r="AA59" i="41" l="1"/>
  <c r="E11" i="51"/>
  <c r="X30" i="60" l="1"/>
  <c r="Y30" i="60"/>
  <c r="Z30" i="60"/>
  <c r="AA30" i="60"/>
  <c r="AB30" i="60"/>
  <c r="AC30" i="60"/>
  <c r="AD30" i="60"/>
  <c r="X31" i="60"/>
  <c r="Y31" i="60"/>
  <c r="Z31" i="60"/>
  <c r="AA31" i="60"/>
  <c r="AB31" i="60"/>
  <c r="AC31" i="60"/>
  <c r="AD31" i="60"/>
  <c r="E76" i="39"/>
  <c r="E72" i="39"/>
  <c r="X34" i="60" l="1"/>
  <c r="AA34" i="60"/>
  <c r="AD33" i="60"/>
  <c r="Z33" i="60"/>
  <c r="AB34" i="60"/>
  <c r="AA33" i="60"/>
  <c r="AD34" i="60"/>
  <c r="Z34" i="60"/>
  <c r="AC33" i="60"/>
  <c r="Y33" i="60"/>
  <c r="AC34" i="60"/>
  <c r="Y34" i="60"/>
  <c r="AB33" i="60"/>
  <c r="X33" i="60"/>
  <c r="F112" i="1"/>
  <c r="G112" i="1"/>
  <c r="H112" i="1"/>
  <c r="I112" i="1"/>
  <c r="J112" i="1"/>
  <c r="K112" i="1"/>
  <c r="E112" i="1"/>
  <c r="H35" i="2"/>
  <c r="I35" i="2"/>
  <c r="J35" i="2"/>
  <c r="K35" i="2"/>
  <c r="AF58" i="51" l="1"/>
  <c r="AE58" i="51"/>
  <c r="AD58" i="51"/>
  <c r="AC58" i="51"/>
  <c r="AB58" i="51"/>
  <c r="AA58" i="51"/>
  <c r="AF56" i="51"/>
  <c r="AE56" i="51"/>
  <c r="AD56" i="51"/>
  <c r="AC56" i="51"/>
  <c r="AB56" i="51"/>
  <c r="AA56" i="51"/>
  <c r="AF55" i="51"/>
  <c r="AE55" i="51"/>
  <c r="AD55" i="51"/>
  <c r="AC55" i="51"/>
  <c r="AB55" i="51"/>
  <c r="AA55" i="51"/>
  <c r="AF54" i="51"/>
  <c r="AE54" i="51"/>
  <c r="AD54" i="51"/>
  <c r="AC54" i="51"/>
  <c r="AB54" i="51"/>
  <c r="AA54" i="51"/>
  <c r="AF53" i="51"/>
  <c r="AE53" i="51"/>
  <c r="AD53" i="51"/>
  <c r="AC53" i="51"/>
  <c r="AB53" i="51"/>
  <c r="AA53" i="51"/>
  <c r="AF51" i="51"/>
  <c r="AE51" i="51"/>
  <c r="AD51" i="51"/>
  <c r="AC51" i="51"/>
  <c r="AB51" i="51"/>
  <c r="AA51" i="51"/>
  <c r="AF50" i="51"/>
  <c r="AE50" i="51"/>
  <c r="AD50" i="51"/>
  <c r="AD49" i="51" s="1"/>
  <c r="AC50" i="51"/>
  <c r="AB50" i="51"/>
  <c r="AA50" i="51"/>
  <c r="AF48" i="51"/>
  <c r="AE48" i="51"/>
  <c r="AD48" i="51"/>
  <c r="AC48" i="51"/>
  <c r="AB48" i="51"/>
  <c r="AA48" i="51"/>
  <c r="AF47" i="51"/>
  <c r="AE47" i="51"/>
  <c r="AD47" i="51"/>
  <c r="AC47" i="51"/>
  <c r="AB47" i="51"/>
  <c r="AA47" i="51"/>
  <c r="AF46" i="51"/>
  <c r="AE46" i="51"/>
  <c r="AD46" i="51"/>
  <c r="AC46" i="51"/>
  <c r="AB46" i="51"/>
  <c r="AA46" i="51"/>
  <c r="AF45" i="51"/>
  <c r="AE45" i="51"/>
  <c r="AD45" i="51"/>
  <c r="AC45" i="51"/>
  <c r="AB45" i="51"/>
  <c r="AA45" i="51"/>
  <c r="AF43" i="51"/>
  <c r="AE43" i="51"/>
  <c r="AD43" i="51"/>
  <c r="AC43" i="51"/>
  <c r="AB43" i="51"/>
  <c r="AA43" i="51"/>
  <c r="AF41" i="51"/>
  <c r="AE41" i="51"/>
  <c r="AD41" i="51"/>
  <c r="AC41" i="51"/>
  <c r="AB41" i="51"/>
  <c r="AA41" i="51"/>
  <c r="AF40" i="51"/>
  <c r="AE40" i="51"/>
  <c r="AD40" i="51"/>
  <c r="AC40" i="51"/>
  <c r="AB40" i="51"/>
  <c r="AA40" i="51"/>
  <c r="AF39" i="51"/>
  <c r="AE39" i="51"/>
  <c r="AD39" i="51"/>
  <c r="AC39" i="51"/>
  <c r="AB39" i="51"/>
  <c r="AA39" i="51"/>
  <c r="AF38" i="51"/>
  <c r="AE38" i="51"/>
  <c r="AD38" i="51"/>
  <c r="AC38" i="51"/>
  <c r="AB38" i="51"/>
  <c r="AA38" i="51"/>
  <c r="AF37" i="51"/>
  <c r="AE37" i="51"/>
  <c r="AD37" i="51"/>
  <c r="AC37" i="51"/>
  <c r="AB37" i="51"/>
  <c r="AA37" i="51"/>
  <c r="AF36" i="51"/>
  <c r="AE36" i="51"/>
  <c r="AD36" i="51"/>
  <c r="AC36" i="51"/>
  <c r="AB36" i="51"/>
  <c r="AA36" i="51"/>
  <c r="AF35" i="51"/>
  <c r="AE35" i="51"/>
  <c r="AD35" i="51"/>
  <c r="AC35" i="51"/>
  <c r="AB35" i="51"/>
  <c r="AA35" i="51"/>
  <c r="AF34" i="51"/>
  <c r="AE34" i="51"/>
  <c r="AD34" i="51"/>
  <c r="AC34" i="51"/>
  <c r="AB34" i="51"/>
  <c r="AA34" i="51"/>
  <c r="AF32" i="51"/>
  <c r="AE32" i="51"/>
  <c r="AD32" i="51"/>
  <c r="AC32" i="51"/>
  <c r="AB32" i="51"/>
  <c r="AA32" i="51"/>
  <c r="AF28" i="51"/>
  <c r="AE28" i="51"/>
  <c r="AD28" i="51"/>
  <c r="AC28" i="51"/>
  <c r="AB28" i="51"/>
  <c r="AA28" i="51"/>
  <c r="AF27" i="51"/>
  <c r="AE27" i="51"/>
  <c r="AD27" i="51"/>
  <c r="AC27" i="51"/>
  <c r="AB27" i="51"/>
  <c r="AA27" i="51"/>
  <c r="AF25" i="51"/>
  <c r="AE25" i="51"/>
  <c r="AD25" i="51"/>
  <c r="AC25" i="51"/>
  <c r="AB25" i="51"/>
  <c r="AA25" i="51"/>
  <c r="AF23" i="51"/>
  <c r="AE23" i="51"/>
  <c r="AD23" i="51"/>
  <c r="AC23" i="51"/>
  <c r="AB23" i="51"/>
  <c r="AA23" i="51"/>
  <c r="AF22" i="51"/>
  <c r="AE22" i="51"/>
  <c r="AD22" i="51"/>
  <c r="AC22" i="51"/>
  <c r="AB22" i="51"/>
  <c r="AA22" i="51"/>
  <c r="AF20" i="51"/>
  <c r="AE20" i="51"/>
  <c r="AD20" i="51"/>
  <c r="AC20" i="51"/>
  <c r="AB20" i="51"/>
  <c r="AA20" i="51"/>
  <c r="AF19" i="51"/>
  <c r="AE19" i="51"/>
  <c r="AD19" i="51"/>
  <c r="AC19" i="51"/>
  <c r="AB19" i="51"/>
  <c r="AA19" i="51"/>
  <c r="AF18" i="51"/>
  <c r="AE18" i="51"/>
  <c r="AD18" i="51"/>
  <c r="AC18" i="51"/>
  <c r="AB18" i="51"/>
  <c r="AA18" i="51"/>
  <c r="AF16" i="51"/>
  <c r="AE16" i="51"/>
  <c r="AD16" i="51"/>
  <c r="AC16" i="51"/>
  <c r="AB16" i="51"/>
  <c r="AA16" i="51"/>
  <c r="AF15" i="51"/>
  <c r="AE15" i="51"/>
  <c r="AD15" i="51"/>
  <c r="AC15" i="51"/>
  <c r="AB15" i="51"/>
  <c r="AA15" i="51"/>
  <c r="AA13" i="51"/>
  <c r="AB13" i="51"/>
  <c r="AC13" i="51"/>
  <c r="AD13" i="51"/>
  <c r="AE13" i="51"/>
  <c r="AF13" i="51"/>
  <c r="AB12" i="51"/>
  <c r="AC12" i="51"/>
  <c r="AD12" i="51"/>
  <c r="AE12" i="51"/>
  <c r="AF12" i="51"/>
  <c r="AA12" i="51"/>
  <c r="Y58" i="51"/>
  <c r="X58" i="51"/>
  <c r="W58" i="51"/>
  <c r="V58" i="51"/>
  <c r="U58" i="51"/>
  <c r="T58" i="51"/>
  <c r="Y56" i="51"/>
  <c r="X56" i="51"/>
  <c r="W56" i="51"/>
  <c r="V56" i="51"/>
  <c r="U56" i="51"/>
  <c r="T56" i="51"/>
  <c r="Y55" i="51"/>
  <c r="X55" i="51"/>
  <c r="W55" i="51"/>
  <c r="V55" i="51"/>
  <c r="U55" i="51"/>
  <c r="T55" i="51"/>
  <c r="Y54" i="51"/>
  <c r="X54" i="51"/>
  <c r="W54" i="51"/>
  <c r="V54" i="51"/>
  <c r="U54" i="51"/>
  <c r="T54" i="51"/>
  <c r="Y53" i="51"/>
  <c r="X53" i="51"/>
  <c r="W53" i="51"/>
  <c r="V53" i="51"/>
  <c r="U53" i="51"/>
  <c r="T53" i="51"/>
  <c r="Y51" i="51"/>
  <c r="X51" i="51"/>
  <c r="W51" i="51"/>
  <c r="V51" i="51"/>
  <c r="U51" i="51"/>
  <c r="T51" i="51"/>
  <c r="Y50" i="51"/>
  <c r="X50" i="51"/>
  <c r="W50" i="51"/>
  <c r="V50" i="51"/>
  <c r="U50" i="51"/>
  <c r="T50" i="51"/>
  <c r="Y48" i="51"/>
  <c r="X48" i="51"/>
  <c r="W48" i="51"/>
  <c r="V48" i="51"/>
  <c r="U48" i="51"/>
  <c r="T48" i="51"/>
  <c r="Y47" i="51"/>
  <c r="X47" i="51"/>
  <c r="W47" i="51"/>
  <c r="V47" i="51"/>
  <c r="U47" i="51"/>
  <c r="T47" i="51"/>
  <c r="Y46" i="51"/>
  <c r="X46" i="51"/>
  <c r="W46" i="51"/>
  <c r="V46" i="51"/>
  <c r="U46" i="51"/>
  <c r="T46" i="51"/>
  <c r="Y45" i="51"/>
  <c r="X45" i="51"/>
  <c r="W45" i="51"/>
  <c r="V45" i="51"/>
  <c r="U45" i="51"/>
  <c r="T45" i="51"/>
  <c r="Y43" i="51"/>
  <c r="X43" i="51"/>
  <c r="W43" i="51"/>
  <c r="V43" i="51"/>
  <c r="U43" i="51"/>
  <c r="T43" i="51"/>
  <c r="Y41" i="51"/>
  <c r="X41" i="51"/>
  <c r="W41" i="51"/>
  <c r="V41" i="51"/>
  <c r="U41" i="51"/>
  <c r="T41" i="51"/>
  <c r="Y40" i="51"/>
  <c r="X40" i="51"/>
  <c r="W40" i="51"/>
  <c r="V40" i="51"/>
  <c r="U40" i="51"/>
  <c r="T40" i="51"/>
  <c r="Y39" i="51"/>
  <c r="X39" i="51"/>
  <c r="W39" i="51"/>
  <c r="V39" i="51"/>
  <c r="U39" i="51"/>
  <c r="T39" i="51"/>
  <c r="Y38" i="51"/>
  <c r="X38" i="51"/>
  <c r="W38" i="51"/>
  <c r="V38" i="51"/>
  <c r="U38" i="51"/>
  <c r="T38" i="51"/>
  <c r="Y37" i="51"/>
  <c r="X37" i="51"/>
  <c r="W37" i="51"/>
  <c r="V37" i="51"/>
  <c r="U37" i="51"/>
  <c r="T37" i="51"/>
  <c r="Y36" i="51"/>
  <c r="X36" i="51"/>
  <c r="W36" i="51"/>
  <c r="V36" i="51"/>
  <c r="U36" i="51"/>
  <c r="T36" i="51"/>
  <c r="Y35" i="51"/>
  <c r="X35" i="51"/>
  <c r="W35" i="51"/>
  <c r="V35" i="51"/>
  <c r="U35" i="51"/>
  <c r="T35" i="51"/>
  <c r="Y34" i="51"/>
  <c r="X34" i="51"/>
  <c r="W34" i="51"/>
  <c r="V34" i="51"/>
  <c r="U34" i="51"/>
  <c r="T34" i="51"/>
  <c r="Y32" i="51"/>
  <c r="X32" i="51"/>
  <c r="W32" i="51"/>
  <c r="V32" i="51"/>
  <c r="U32" i="51"/>
  <c r="T32" i="51"/>
  <c r="Y28" i="51"/>
  <c r="X28" i="51"/>
  <c r="W28" i="51"/>
  <c r="V28" i="51"/>
  <c r="U28" i="51"/>
  <c r="T28" i="51"/>
  <c r="Y27" i="51"/>
  <c r="X27" i="51"/>
  <c r="W27" i="51"/>
  <c r="V27" i="51"/>
  <c r="U27" i="51"/>
  <c r="T27" i="51"/>
  <c r="Y25" i="51"/>
  <c r="X25" i="51"/>
  <c r="W25" i="51"/>
  <c r="V25" i="51"/>
  <c r="U25" i="51"/>
  <c r="T25" i="51"/>
  <c r="Y23" i="51"/>
  <c r="X23" i="51"/>
  <c r="W23" i="51"/>
  <c r="V23" i="51"/>
  <c r="U23" i="51"/>
  <c r="T23" i="51"/>
  <c r="Y22" i="51"/>
  <c r="X22" i="51"/>
  <c r="W22" i="51"/>
  <c r="V22" i="51"/>
  <c r="U22" i="51"/>
  <c r="T22" i="51"/>
  <c r="Y20" i="51"/>
  <c r="X20" i="51"/>
  <c r="W20" i="51"/>
  <c r="V20" i="51"/>
  <c r="U20" i="51"/>
  <c r="T20" i="51"/>
  <c r="Y19" i="51"/>
  <c r="X19" i="51"/>
  <c r="W19" i="51"/>
  <c r="V19" i="51"/>
  <c r="U19" i="51"/>
  <c r="T19" i="51"/>
  <c r="Y18" i="51"/>
  <c r="X18" i="51"/>
  <c r="W18" i="51"/>
  <c r="V18" i="51"/>
  <c r="U18" i="51"/>
  <c r="T18" i="51"/>
  <c r="Y16" i="51"/>
  <c r="X16" i="51"/>
  <c r="W16" i="51"/>
  <c r="V16" i="51"/>
  <c r="U16" i="51"/>
  <c r="T16" i="51"/>
  <c r="Y15" i="51"/>
  <c r="X15" i="51"/>
  <c r="W15" i="51"/>
  <c r="V15" i="51"/>
  <c r="U15" i="51"/>
  <c r="T15" i="51"/>
  <c r="T13" i="51"/>
  <c r="U13" i="51"/>
  <c r="V13" i="51"/>
  <c r="W13" i="51"/>
  <c r="X13" i="51"/>
  <c r="Y13" i="51"/>
  <c r="U12" i="51"/>
  <c r="V12" i="51"/>
  <c r="W12" i="51"/>
  <c r="X12" i="51"/>
  <c r="Y12" i="51"/>
  <c r="T12" i="51"/>
  <c r="R58" i="51"/>
  <c r="Q58" i="51"/>
  <c r="P58" i="51"/>
  <c r="O58" i="51"/>
  <c r="N58" i="51"/>
  <c r="M58" i="51"/>
  <c r="R56" i="51"/>
  <c r="Q56" i="51"/>
  <c r="P56" i="51"/>
  <c r="O56" i="51"/>
  <c r="N56" i="51"/>
  <c r="M56" i="51"/>
  <c r="R55" i="51"/>
  <c r="Q55" i="51"/>
  <c r="P55" i="51"/>
  <c r="O55" i="51"/>
  <c r="N55" i="51"/>
  <c r="M55" i="51"/>
  <c r="R54" i="51"/>
  <c r="Q54" i="51"/>
  <c r="P54" i="51"/>
  <c r="O54" i="51"/>
  <c r="N54" i="51"/>
  <c r="M54" i="51"/>
  <c r="R53" i="51"/>
  <c r="Q53" i="51"/>
  <c r="P53" i="51"/>
  <c r="O53" i="51"/>
  <c r="N53" i="51"/>
  <c r="M53" i="51"/>
  <c r="R51" i="51"/>
  <c r="Q51" i="51"/>
  <c r="P51" i="51"/>
  <c r="O51" i="51"/>
  <c r="N51" i="51"/>
  <c r="M51" i="51"/>
  <c r="R50" i="51"/>
  <c r="Q50" i="51"/>
  <c r="P50" i="51"/>
  <c r="O50" i="51"/>
  <c r="N50" i="51"/>
  <c r="M50" i="51"/>
  <c r="R48" i="51"/>
  <c r="Q48" i="51"/>
  <c r="P48" i="51"/>
  <c r="O48" i="51"/>
  <c r="N48" i="51"/>
  <c r="M48" i="51"/>
  <c r="R47" i="51"/>
  <c r="Q47" i="51"/>
  <c r="P47" i="51"/>
  <c r="O47" i="51"/>
  <c r="N47" i="51"/>
  <c r="M47" i="51"/>
  <c r="R46" i="51"/>
  <c r="Q46" i="51"/>
  <c r="P46" i="51"/>
  <c r="O46" i="51"/>
  <c r="N46" i="51"/>
  <c r="M46" i="51"/>
  <c r="R45" i="51"/>
  <c r="Q45" i="51"/>
  <c r="P45" i="51"/>
  <c r="O45" i="51"/>
  <c r="N45" i="51"/>
  <c r="M45" i="51"/>
  <c r="R43" i="51"/>
  <c r="Q43" i="51"/>
  <c r="P43" i="51"/>
  <c r="O43" i="51"/>
  <c r="N43" i="51"/>
  <c r="M43" i="51"/>
  <c r="R41" i="51"/>
  <c r="Q41" i="51"/>
  <c r="P41" i="51"/>
  <c r="O41" i="51"/>
  <c r="N41" i="51"/>
  <c r="M41" i="51"/>
  <c r="R40" i="51"/>
  <c r="Q40" i="51"/>
  <c r="P40" i="51"/>
  <c r="O40" i="51"/>
  <c r="N40" i="51"/>
  <c r="M40" i="51"/>
  <c r="R39" i="51"/>
  <c r="Q39" i="51"/>
  <c r="P39" i="51"/>
  <c r="O39" i="51"/>
  <c r="N39" i="51"/>
  <c r="M39" i="51"/>
  <c r="R38" i="51"/>
  <c r="Q38" i="51"/>
  <c r="P38" i="51"/>
  <c r="O38" i="51"/>
  <c r="N38" i="51"/>
  <c r="M38" i="51"/>
  <c r="R37" i="51"/>
  <c r="Q37" i="51"/>
  <c r="P37" i="51"/>
  <c r="O37" i="51"/>
  <c r="N37" i="51"/>
  <c r="M37" i="51"/>
  <c r="R36" i="51"/>
  <c r="Q36" i="51"/>
  <c r="P36" i="51"/>
  <c r="O36" i="51"/>
  <c r="N36" i="51"/>
  <c r="M36" i="51"/>
  <c r="R35" i="51"/>
  <c r="Q35" i="51"/>
  <c r="P35" i="51"/>
  <c r="O35" i="51"/>
  <c r="N35" i="51"/>
  <c r="M35" i="51"/>
  <c r="R34" i="51"/>
  <c r="Q34" i="51"/>
  <c r="P34" i="51"/>
  <c r="O34" i="51"/>
  <c r="N34" i="51"/>
  <c r="M34" i="51"/>
  <c r="R32" i="51"/>
  <c r="Q32" i="51"/>
  <c r="P32" i="51"/>
  <c r="O32" i="51"/>
  <c r="N32" i="51"/>
  <c r="M32" i="51"/>
  <c r="R28" i="51"/>
  <c r="Q28" i="51"/>
  <c r="P28" i="51"/>
  <c r="O28" i="51"/>
  <c r="N28" i="51"/>
  <c r="M28" i="51"/>
  <c r="R27" i="51"/>
  <c r="Q27" i="51"/>
  <c r="P27" i="51"/>
  <c r="O27" i="51"/>
  <c r="N27" i="51"/>
  <c r="M27" i="51"/>
  <c r="R25" i="51"/>
  <c r="Q25" i="51"/>
  <c r="P25" i="51"/>
  <c r="O25" i="51"/>
  <c r="N25" i="51"/>
  <c r="M25" i="51"/>
  <c r="R23" i="51"/>
  <c r="Q23" i="51"/>
  <c r="P23" i="51"/>
  <c r="O23" i="51"/>
  <c r="N23" i="51"/>
  <c r="M23" i="51"/>
  <c r="R22" i="51"/>
  <c r="Q22" i="51"/>
  <c r="P22" i="51"/>
  <c r="O22" i="51"/>
  <c r="N22" i="51"/>
  <c r="M22" i="51"/>
  <c r="R20" i="51"/>
  <c r="Q20" i="51"/>
  <c r="P20" i="51"/>
  <c r="O20" i="51"/>
  <c r="N20" i="51"/>
  <c r="M20" i="51"/>
  <c r="R19" i="51"/>
  <c r="Q19" i="51"/>
  <c r="P19" i="51"/>
  <c r="O19" i="51"/>
  <c r="N19" i="51"/>
  <c r="M19" i="51"/>
  <c r="R18" i="51"/>
  <c r="Q18" i="51"/>
  <c r="P18" i="51"/>
  <c r="O18" i="51"/>
  <c r="N18" i="51"/>
  <c r="M18" i="51"/>
  <c r="R16" i="51"/>
  <c r="Q16" i="51"/>
  <c r="P16" i="51"/>
  <c r="O16" i="51"/>
  <c r="N16" i="51"/>
  <c r="M16" i="51"/>
  <c r="R15" i="51"/>
  <c r="Q15" i="51"/>
  <c r="P15" i="51"/>
  <c r="O15" i="51"/>
  <c r="N15" i="51"/>
  <c r="M15" i="51"/>
  <c r="M13" i="51"/>
  <c r="N13" i="51"/>
  <c r="O13" i="51"/>
  <c r="P13" i="51"/>
  <c r="Q13" i="51"/>
  <c r="R13" i="51"/>
  <c r="N12" i="51"/>
  <c r="O12" i="51"/>
  <c r="P12" i="51"/>
  <c r="Q12" i="51"/>
  <c r="R12" i="51"/>
  <c r="M12" i="51"/>
  <c r="K58" i="51"/>
  <c r="J58" i="51"/>
  <c r="I58" i="51"/>
  <c r="H58" i="51"/>
  <c r="G58" i="51"/>
  <c r="F58" i="51"/>
  <c r="K56" i="51"/>
  <c r="J56" i="51"/>
  <c r="I56" i="51"/>
  <c r="H56" i="51"/>
  <c r="G56" i="51"/>
  <c r="F56" i="51"/>
  <c r="K55" i="51"/>
  <c r="J55" i="51"/>
  <c r="I55" i="51"/>
  <c r="H55" i="51"/>
  <c r="G55" i="51"/>
  <c r="F55" i="51"/>
  <c r="K54" i="51"/>
  <c r="J54" i="51"/>
  <c r="I54" i="51"/>
  <c r="H54" i="51"/>
  <c r="G54" i="51"/>
  <c r="F54" i="51"/>
  <c r="K53" i="51"/>
  <c r="J53" i="51"/>
  <c r="I53" i="51"/>
  <c r="H53" i="51"/>
  <c r="G53" i="51"/>
  <c r="F53" i="51"/>
  <c r="K51" i="51"/>
  <c r="J51" i="51"/>
  <c r="I51" i="51"/>
  <c r="H51" i="51"/>
  <c r="G51" i="51"/>
  <c r="F51" i="51"/>
  <c r="K50" i="51"/>
  <c r="J50" i="51"/>
  <c r="I50" i="51"/>
  <c r="H50" i="51"/>
  <c r="G50" i="51"/>
  <c r="F50" i="51"/>
  <c r="K48" i="51"/>
  <c r="J48" i="51"/>
  <c r="I48" i="51"/>
  <c r="H48" i="51"/>
  <c r="G48" i="51"/>
  <c r="F48" i="51"/>
  <c r="K47" i="51"/>
  <c r="J47" i="51"/>
  <c r="I47" i="51"/>
  <c r="H47" i="51"/>
  <c r="G47" i="51"/>
  <c r="F47" i="51"/>
  <c r="K46" i="51"/>
  <c r="J46" i="51"/>
  <c r="I46" i="51"/>
  <c r="H46" i="51"/>
  <c r="G46" i="51"/>
  <c r="F46" i="51"/>
  <c r="K45" i="51"/>
  <c r="J45" i="51"/>
  <c r="I45" i="51"/>
  <c r="H45" i="51"/>
  <c r="G45" i="51"/>
  <c r="F45" i="51"/>
  <c r="K43" i="51"/>
  <c r="J43" i="51"/>
  <c r="I43" i="51"/>
  <c r="H43" i="51"/>
  <c r="G43" i="51"/>
  <c r="F43" i="51"/>
  <c r="K41" i="51"/>
  <c r="J41" i="51"/>
  <c r="I41" i="51"/>
  <c r="H41" i="51"/>
  <c r="G41" i="51"/>
  <c r="F41" i="51"/>
  <c r="K40" i="51"/>
  <c r="J40" i="51"/>
  <c r="I40" i="51"/>
  <c r="H40" i="51"/>
  <c r="G40" i="51"/>
  <c r="F40" i="51"/>
  <c r="K39" i="51"/>
  <c r="J39" i="51"/>
  <c r="I39" i="51"/>
  <c r="H39" i="51"/>
  <c r="G39" i="51"/>
  <c r="F39" i="51"/>
  <c r="K38" i="51"/>
  <c r="J38" i="51"/>
  <c r="I38" i="51"/>
  <c r="H38" i="51"/>
  <c r="G38" i="51"/>
  <c r="F38" i="51"/>
  <c r="K37" i="51"/>
  <c r="J37" i="51"/>
  <c r="I37" i="51"/>
  <c r="H37" i="51"/>
  <c r="G37" i="51"/>
  <c r="F37" i="51"/>
  <c r="K36" i="51"/>
  <c r="J36" i="51"/>
  <c r="I36" i="51"/>
  <c r="H36" i="51"/>
  <c r="G36" i="51"/>
  <c r="F36" i="51"/>
  <c r="K35" i="51"/>
  <c r="J35" i="51"/>
  <c r="I35" i="51"/>
  <c r="H35" i="51"/>
  <c r="G35" i="51"/>
  <c r="F35" i="51"/>
  <c r="K34" i="51"/>
  <c r="J34" i="51"/>
  <c r="I34" i="51"/>
  <c r="H34" i="51"/>
  <c r="G34" i="51"/>
  <c r="F34" i="51"/>
  <c r="K32" i="51"/>
  <c r="J32" i="51"/>
  <c r="I32" i="51"/>
  <c r="H32" i="51"/>
  <c r="G32" i="51"/>
  <c r="F32" i="51"/>
  <c r="K28" i="51"/>
  <c r="J28" i="51"/>
  <c r="I28" i="51"/>
  <c r="H28" i="51"/>
  <c r="G28" i="51"/>
  <c r="F28" i="51"/>
  <c r="K27" i="51"/>
  <c r="J27" i="51"/>
  <c r="I27" i="51"/>
  <c r="H27" i="51"/>
  <c r="G27" i="51"/>
  <c r="F27" i="51"/>
  <c r="K25" i="51"/>
  <c r="J25" i="51"/>
  <c r="I25" i="51"/>
  <c r="H25" i="51"/>
  <c r="G25" i="51"/>
  <c r="F25" i="51"/>
  <c r="K23" i="51"/>
  <c r="J23" i="51"/>
  <c r="I23" i="51"/>
  <c r="H23" i="51"/>
  <c r="G23" i="51"/>
  <c r="F23" i="51"/>
  <c r="K22" i="51"/>
  <c r="J22" i="51"/>
  <c r="I22" i="51"/>
  <c r="H22" i="51"/>
  <c r="G22" i="51"/>
  <c r="F22" i="51"/>
  <c r="K20" i="51"/>
  <c r="J20" i="51"/>
  <c r="I20" i="51"/>
  <c r="H20" i="51"/>
  <c r="G20" i="51"/>
  <c r="F20" i="51"/>
  <c r="K19" i="51"/>
  <c r="J19" i="51"/>
  <c r="I19" i="51"/>
  <c r="H19" i="51"/>
  <c r="G19" i="51"/>
  <c r="F19" i="51"/>
  <c r="K18" i="51"/>
  <c r="J18" i="51"/>
  <c r="I18" i="51"/>
  <c r="H18" i="51"/>
  <c r="G18" i="51"/>
  <c r="F18" i="51"/>
  <c r="K16" i="51"/>
  <c r="J16" i="51"/>
  <c r="I16" i="51"/>
  <c r="H16" i="51"/>
  <c r="G16" i="51"/>
  <c r="F16" i="51"/>
  <c r="K15" i="51"/>
  <c r="J15" i="51"/>
  <c r="I15" i="51"/>
  <c r="H15" i="51"/>
  <c r="G15" i="51"/>
  <c r="F15" i="51"/>
  <c r="F13" i="51"/>
  <c r="G13" i="51"/>
  <c r="H13" i="51"/>
  <c r="I13" i="51"/>
  <c r="J13" i="51"/>
  <c r="K13" i="51"/>
  <c r="G12" i="51"/>
  <c r="H12" i="51"/>
  <c r="I12" i="51"/>
  <c r="J12" i="51"/>
  <c r="K12" i="51"/>
  <c r="F12" i="51"/>
  <c r="E6" i="51"/>
  <c r="H33" i="51" l="1"/>
  <c r="M33" i="51"/>
  <c r="V33" i="51"/>
  <c r="AA33" i="51"/>
  <c r="AE33" i="51"/>
  <c r="Q33" i="51"/>
  <c r="P33" i="51"/>
  <c r="U33" i="51"/>
  <c r="Y33" i="51"/>
  <c r="AD33" i="51"/>
  <c r="G33" i="51"/>
  <c r="K33" i="51"/>
  <c r="I33" i="51"/>
  <c r="N33" i="51"/>
  <c r="R33" i="51"/>
  <c r="W33" i="51"/>
  <c r="AB33" i="51"/>
  <c r="AF33" i="51"/>
  <c r="K91" i="51"/>
  <c r="U91" i="51"/>
  <c r="AC91" i="51"/>
  <c r="N91" i="51"/>
  <c r="AB91" i="51"/>
  <c r="AF91" i="51"/>
  <c r="M91" i="51"/>
  <c r="W91" i="51"/>
  <c r="AE91" i="51"/>
  <c r="P91" i="51"/>
  <c r="AD91" i="51"/>
  <c r="R91" i="51"/>
  <c r="J91" i="51"/>
  <c r="G91" i="51"/>
  <c r="O91" i="51"/>
  <c r="Y91" i="51"/>
  <c r="F91" i="51"/>
  <c r="T91" i="51"/>
  <c r="X91" i="51"/>
  <c r="I91" i="51"/>
  <c r="Q91" i="51"/>
  <c r="AA91" i="51"/>
  <c r="H91" i="51"/>
  <c r="V91" i="51"/>
  <c r="F33" i="51"/>
  <c r="J33" i="51"/>
  <c r="O33" i="51"/>
  <c r="T33" i="51"/>
  <c r="X33" i="51"/>
  <c r="AC33" i="51"/>
  <c r="K49" i="51"/>
  <c r="P49" i="51"/>
  <c r="U49" i="51"/>
  <c r="AE49" i="51"/>
  <c r="V49" i="51"/>
  <c r="M49" i="51"/>
  <c r="Q49" i="51"/>
  <c r="G49" i="51"/>
  <c r="AA49" i="51"/>
  <c r="Y49" i="51"/>
  <c r="H49" i="51"/>
  <c r="T101" i="51"/>
  <c r="U101" i="51"/>
  <c r="AA101" i="51"/>
  <c r="H101" i="51"/>
  <c r="M101" i="51"/>
  <c r="AD101" i="51"/>
  <c r="V101" i="51"/>
  <c r="K101" i="51"/>
  <c r="O101" i="51"/>
  <c r="AB101" i="51"/>
  <c r="I101" i="51"/>
  <c r="Y101" i="51"/>
  <c r="AC101" i="51"/>
  <c r="G101" i="51"/>
  <c r="J101" i="51"/>
  <c r="W101" i="51"/>
  <c r="F101" i="51"/>
  <c r="P101" i="51"/>
  <c r="X101" i="51"/>
  <c r="R101" i="51"/>
  <c r="AE101" i="51"/>
  <c r="AF101" i="51"/>
  <c r="N101" i="51"/>
  <c r="Q101" i="51"/>
  <c r="I49" i="51"/>
  <c r="F49" i="51"/>
  <c r="J49" i="51"/>
  <c r="F102" i="51"/>
  <c r="O49" i="51"/>
  <c r="T49" i="51"/>
  <c r="X49" i="51"/>
  <c r="AC49" i="51"/>
  <c r="N49" i="51"/>
  <c r="R49" i="51"/>
  <c r="W49" i="51"/>
  <c r="AB49" i="51"/>
  <c r="AF49" i="51"/>
  <c r="N88" i="51"/>
  <c r="K61" i="51"/>
  <c r="G61" i="51"/>
  <c r="I61" i="51"/>
  <c r="J61" i="51"/>
  <c r="H61" i="51"/>
  <c r="F61" i="51"/>
  <c r="K64" i="51"/>
  <c r="G64" i="51"/>
  <c r="I64" i="51"/>
  <c r="H64" i="51"/>
  <c r="F64" i="51"/>
  <c r="J64" i="51"/>
  <c r="K67" i="51"/>
  <c r="G67" i="51"/>
  <c r="I67" i="51"/>
  <c r="J67" i="51"/>
  <c r="H67" i="51"/>
  <c r="F67" i="51"/>
  <c r="F69" i="51"/>
  <c r="J69" i="51"/>
  <c r="H69" i="51"/>
  <c r="G69" i="51"/>
  <c r="I69" i="51"/>
  <c r="K69" i="51"/>
  <c r="I72" i="51"/>
  <c r="H72" i="51"/>
  <c r="G72" i="51"/>
  <c r="K72" i="51"/>
  <c r="J72" i="51"/>
  <c r="F72" i="51"/>
  <c r="K76" i="51"/>
  <c r="G76" i="51"/>
  <c r="J76" i="51"/>
  <c r="F76" i="51"/>
  <c r="I76" i="51"/>
  <c r="H76" i="51"/>
  <c r="K80" i="51"/>
  <c r="G80" i="51"/>
  <c r="J80" i="51"/>
  <c r="F80" i="51"/>
  <c r="I80" i="51"/>
  <c r="H80" i="51"/>
  <c r="K83" i="51"/>
  <c r="G83" i="51"/>
  <c r="J83" i="51"/>
  <c r="F83" i="51"/>
  <c r="I83" i="51"/>
  <c r="H83" i="51"/>
  <c r="K85" i="51"/>
  <c r="G85" i="51"/>
  <c r="J85" i="51"/>
  <c r="F85" i="51"/>
  <c r="I85" i="51"/>
  <c r="H85" i="51"/>
  <c r="I87" i="51"/>
  <c r="K87" i="51"/>
  <c r="G87" i="51"/>
  <c r="J87" i="51"/>
  <c r="H87" i="51"/>
  <c r="F87" i="51"/>
  <c r="I89" i="51"/>
  <c r="K89" i="51"/>
  <c r="G89" i="51"/>
  <c r="H89" i="51"/>
  <c r="F89" i="51"/>
  <c r="J89" i="51"/>
  <c r="I92" i="51"/>
  <c r="K92" i="51"/>
  <c r="G92" i="51"/>
  <c r="J92" i="51"/>
  <c r="H92" i="51"/>
  <c r="F92" i="51"/>
  <c r="I95" i="51"/>
  <c r="K95" i="51"/>
  <c r="G95" i="51"/>
  <c r="H95" i="51"/>
  <c r="F95" i="51"/>
  <c r="J95" i="51"/>
  <c r="I97" i="51"/>
  <c r="K97" i="51"/>
  <c r="G97" i="51"/>
  <c r="J97" i="51"/>
  <c r="H97" i="51"/>
  <c r="F97" i="51"/>
  <c r="I100" i="51"/>
  <c r="K100" i="51"/>
  <c r="G100" i="51"/>
  <c r="H100" i="51"/>
  <c r="F100" i="51"/>
  <c r="J100" i="51"/>
  <c r="I103" i="51"/>
  <c r="K103" i="51"/>
  <c r="G103" i="51"/>
  <c r="J103" i="51"/>
  <c r="H103" i="51"/>
  <c r="F103" i="51"/>
  <c r="I105" i="51"/>
  <c r="K105" i="51"/>
  <c r="G105" i="51"/>
  <c r="H105" i="51"/>
  <c r="F105" i="51"/>
  <c r="J105" i="51"/>
  <c r="P61" i="51"/>
  <c r="R61" i="51"/>
  <c r="N61" i="51"/>
  <c r="M61" i="51"/>
  <c r="Q61" i="51"/>
  <c r="O61" i="51"/>
  <c r="P64" i="51"/>
  <c r="R64" i="51"/>
  <c r="N64" i="51"/>
  <c r="Q64" i="51"/>
  <c r="O64" i="51"/>
  <c r="M64" i="51"/>
  <c r="P67" i="51"/>
  <c r="R67" i="51"/>
  <c r="N67" i="51"/>
  <c r="M67" i="51"/>
  <c r="Q67" i="51"/>
  <c r="O67" i="51"/>
  <c r="O69" i="51"/>
  <c r="M69" i="51"/>
  <c r="Q69" i="51"/>
  <c r="N69" i="51"/>
  <c r="P69" i="51"/>
  <c r="R69" i="51"/>
  <c r="R72" i="51"/>
  <c r="N72" i="51"/>
  <c r="Q72" i="51"/>
  <c r="M72" i="51"/>
  <c r="P72" i="51"/>
  <c r="O72" i="51"/>
  <c r="P76" i="51"/>
  <c r="O76" i="51"/>
  <c r="R76" i="51"/>
  <c r="N76" i="51"/>
  <c r="M76" i="51"/>
  <c r="Q76" i="51"/>
  <c r="P80" i="51"/>
  <c r="O80" i="51"/>
  <c r="N80" i="51"/>
  <c r="R80" i="51"/>
  <c r="Q80" i="51"/>
  <c r="M80" i="51"/>
  <c r="P83" i="51"/>
  <c r="O83" i="51"/>
  <c r="R83" i="51"/>
  <c r="N83" i="51"/>
  <c r="Q83" i="51"/>
  <c r="M83" i="51"/>
  <c r="R85" i="51"/>
  <c r="P85" i="51"/>
  <c r="Q85" i="51"/>
  <c r="O85" i="51"/>
  <c r="N85" i="51"/>
  <c r="M85" i="51"/>
  <c r="R87" i="51"/>
  <c r="N87" i="51"/>
  <c r="P87" i="51"/>
  <c r="M87" i="51"/>
  <c r="Q87" i="51"/>
  <c r="O87" i="51"/>
  <c r="R89" i="51"/>
  <c r="N89" i="51"/>
  <c r="P89" i="51"/>
  <c r="Q89" i="51"/>
  <c r="O89" i="51"/>
  <c r="M89" i="51"/>
  <c r="R92" i="51"/>
  <c r="N92" i="51"/>
  <c r="P92" i="51"/>
  <c r="M92" i="51"/>
  <c r="Q92" i="51"/>
  <c r="O92" i="51"/>
  <c r="R95" i="51"/>
  <c r="N95" i="51"/>
  <c r="P95" i="51"/>
  <c r="Q95" i="51"/>
  <c r="O95" i="51"/>
  <c r="M95" i="51"/>
  <c r="R97" i="51"/>
  <c r="N97" i="51"/>
  <c r="P97" i="51"/>
  <c r="M97" i="51"/>
  <c r="Q97" i="51"/>
  <c r="O97" i="51"/>
  <c r="R100" i="51"/>
  <c r="N100" i="51"/>
  <c r="P100" i="51"/>
  <c r="Q100" i="51"/>
  <c r="O100" i="51"/>
  <c r="M100" i="51"/>
  <c r="R103" i="51"/>
  <c r="N103" i="51"/>
  <c r="P103" i="51"/>
  <c r="M103" i="51"/>
  <c r="Q103" i="51"/>
  <c r="O103" i="51"/>
  <c r="R105" i="51"/>
  <c r="N105" i="51"/>
  <c r="P105" i="51"/>
  <c r="Q105" i="51"/>
  <c r="O105" i="51"/>
  <c r="M105" i="51"/>
  <c r="X61" i="51"/>
  <c r="W61" i="51"/>
  <c r="T61" i="51"/>
  <c r="Y61" i="51"/>
  <c r="V61" i="51"/>
  <c r="U61" i="51"/>
  <c r="Y64" i="51"/>
  <c r="U64" i="51"/>
  <c r="W64" i="51"/>
  <c r="X64" i="51"/>
  <c r="V64" i="51"/>
  <c r="T64" i="51"/>
  <c r="Y67" i="51"/>
  <c r="U67" i="51"/>
  <c r="W67" i="51"/>
  <c r="V67" i="51"/>
  <c r="T67" i="51"/>
  <c r="X67" i="51"/>
  <c r="T69" i="51"/>
  <c r="X69" i="51"/>
  <c r="V69" i="51"/>
  <c r="W69" i="51"/>
  <c r="Y69" i="51"/>
  <c r="U69" i="51"/>
  <c r="W72" i="51"/>
  <c r="V72" i="51"/>
  <c r="Y72" i="51"/>
  <c r="U72" i="51"/>
  <c r="T72" i="51"/>
  <c r="X72" i="51"/>
  <c r="Y76" i="51"/>
  <c r="U76" i="51"/>
  <c r="X76" i="51"/>
  <c r="T76" i="51"/>
  <c r="W76" i="51"/>
  <c r="V76" i="51"/>
  <c r="Y80" i="51"/>
  <c r="U80" i="51"/>
  <c r="X80" i="51"/>
  <c r="T80" i="51"/>
  <c r="W80" i="51"/>
  <c r="V80" i="51"/>
  <c r="Y83" i="51"/>
  <c r="U83" i="51"/>
  <c r="X83" i="51"/>
  <c r="T83" i="51"/>
  <c r="W83" i="51"/>
  <c r="V83" i="51"/>
  <c r="W85" i="51"/>
  <c r="Y85" i="51"/>
  <c r="U85" i="51"/>
  <c r="X85" i="51"/>
  <c r="V85" i="51"/>
  <c r="T85" i="51"/>
  <c r="W87" i="51"/>
  <c r="Y87" i="51"/>
  <c r="U87" i="51"/>
  <c r="V87" i="51"/>
  <c r="T87" i="51"/>
  <c r="X87" i="51"/>
  <c r="W89" i="51"/>
  <c r="Y89" i="51"/>
  <c r="U89" i="51"/>
  <c r="X89" i="51"/>
  <c r="V89" i="51"/>
  <c r="T89" i="51"/>
  <c r="W92" i="51"/>
  <c r="Y92" i="51"/>
  <c r="U92" i="51"/>
  <c r="V92" i="51"/>
  <c r="T92" i="51"/>
  <c r="X92" i="51"/>
  <c r="W95" i="51"/>
  <c r="Y95" i="51"/>
  <c r="U95" i="51"/>
  <c r="X95" i="51"/>
  <c r="V95" i="51"/>
  <c r="T95" i="51"/>
  <c r="W97" i="51"/>
  <c r="Y97" i="51"/>
  <c r="U97" i="51"/>
  <c r="V97" i="51"/>
  <c r="T97" i="51"/>
  <c r="X97" i="51"/>
  <c r="W100" i="51"/>
  <c r="Y100" i="51"/>
  <c r="U100" i="51"/>
  <c r="X100" i="51"/>
  <c r="V100" i="51"/>
  <c r="T100" i="51"/>
  <c r="W103" i="51"/>
  <c r="Y103" i="51"/>
  <c r="U103" i="51"/>
  <c r="V103" i="51"/>
  <c r="T103" i="51"/>
  <c r="X103" i="51"/>
  <c r="W105" i="51"/>
  <c r="Y105" i="51"/>
  <c r="U105" i="51"/>
  <c r="X105" i="51"/>
  <c r="V105" i="51"/>
  <c r="T105" i="51"/>
  <c r="I84" i="51"/>
  <c r="H84" i="51"/>
  <c r="G84" i="51"/>
  <c r="K84" i="51"/>
  <c r="J84" i="51"/>
  <c r="F84" i="51"/>
  <c r="K86" i="51"/>
  <c r="G86" i="51"/>
  <c r="I86" i="51"/>
  <c r="F86" i="51"/>
  <c r="J86" i="51"/>
  <c r="H86" i="51"/>
  <c r="K88" i="51"/>
  <c r="G88" i="51"/>
  <c r="I88" i="51"/>
  <c r="J88" i="51"/>
  <c r="H88" i="51"/>
  <c r="F88" i="51"/>
  <c r="K90" i="51"/>
  <c r="G90" i="51"/>
  <c r="I90" i="51"/>
  <c r="F90" i="51"/>
  <c r="J90" i="51"/>
  <c r="H90" i="51"/>
  <c r="K94" i="51"/>
  <c r="G94" i="51"/>
  <c r="I94" i="51"/>
  <c r="J94" i="51"/>
  <c r="H94" i="51"/>
  <c r="F94" i="51"/>
  <c r="P74" i="51"/>
  <c r="O74" i="51"/>
  <c r="N74" i="51"/>
  <c r="R74" i="51"/>
  <c r="Q74" i="51"/>
  <c r="M74" i="51"/>
  <c r="R77" i="51"/>
  <c r="N77" i="51"/>
  <c r="Q77" i="51"/>
  <c r="M77" i="51"/>
  <c r="P77" i="51"/>
  <c r="O77" i="51"/>
  <c r="R81" i="51"/>
  <c r="N81" i="51"/>
  <c r="Q81" i="51"/>
  <c r="M81" i="51"/>
  <c r="P81" i="51"/>
  <c r="O81" i="51"/>
  <c r="R84" i="51"/>
  <c r="N84" i="51"/>
  <c r="Q84" i="51"/>
  <c r="M84" i="51"/>
  <c r="P84" i="51"/>
  <c r="O84" i="51"/>
  <c r="P86" i="51"/>
  <c r="R86" i="51"/>
  <c r="N86" i="51"/>
  <c r="O86" i="51"/>
  <c r="M86" i="51"/>
  <c r="Q86" i="51"/>
  <c r="P88" i="51"/>
  <c r="R88" i="51"/>
  <c r="Q88" i="51"/>
  <c r="O88" i="51"/>
  <c r="M88" i="51"/>
  <c r="P90" i="51"/>
  <c r="R90" i="51"/>
  <c r="N90" i="51"/>
  <c r="O90" i="51"/>
  <c r="M90" i="51"/>
  <c r="Q90" i="51"/>
  <c r="P94" i="51"/>
  <c r="R94" i="51"/>
  <c r="N94" i="51"/>
  <c r="Q94" i="51"/>
  <c r="O94" i="51"/>
  <c r="M94" i="51"/>
  <c r="P96" i="51"/>
  <c r="R96" i="51"/>
  <c r="N96" i="51"/>
  <c r="O96" i="51"/>
  <c r="M96" i="51"/>
  <c r="Q96" i="51"/>
  <c r="P99" i="51"/>
  <c r="R99" i="51"/>
  <c r="N99" i="51"/>
  <c r="Q99" i="51"/>
  <c r="O99" i="51"/>
  <c r="M99" i="51"/>
  <c r="P102" i="51"/>
  <c r="R102" i="51"/>
  <c r="N102" i="51"/>
  <c r="O102" i="51"/>
  <c r="M102" i="51"/>
  <c r="Q102" i="51"/>
  <c r="P104" i="51"/>
  <c r="R104" i="51"/>
  <c r="N104" i="51"/>
  <c r="Q104" i="51"/>
  <c r="O104" i="51"/>
  <c r="M104" i="51"/>
  <c r="O107" i="51"/>
  <c r="Q107" i="51"/>
  <c r="M107" i="51"/>
  <c r="N107" i="51"/>
  <c r="R107" i="51"/>
  <c r="P107" i="51"/>
  <c r="W65" i="51"/>
  <c r="Y65" i="51"/>
  <c r="U65" i="51"/>
  <c r="X65" i="51"/>
  <c r="V65" i="51"/>
  <c r="T65" i="51"/>
  <c r="W68" i="51"/>
  <c r="Y68" i="51"/>
  <c r="U68" i="51"/>
  <c r="T68" i="51"/>
  <c r="X68" i="51"/>
  <c r="V68" i="51"/>
  <c r="W71" i="51"/>
  <c r="Y71" i="51"/>
  <c r="U71" i="51"/>
  <c r="X71" i="51"/>
  <c r="V71" i="51"/>
  <c r="T71" i="51"/>
  <c r="Y74" i="51"/>
  <c r="U74" i="51"/>
  <c r="X74" i="51"/>
  <c r="T74" i="51"/>
  <c r="W74" i="51"/>
  <c r="V74" i="51"/>
  <c r="W77" i="51"/>
  <c r="V77" i="51"/>
  <c r="Y77" i="51"/>
  <c r="U77" i="51"/>
  <c r="X77" i="51"/>
  <c r="T77" i="51"/>
  <c r="W81" i="51"/>
  <c r="V81" i="51"/>
  <c r="U81" i="51"/>
  <c r="Y81" i="51"/>
  <c r="X81" i="51"/>
  <c r="T81" i="51"/>
  <c r="W84" i="51"/>
  <c r="V84" i="51"/>
  <c r="Y84" i="51"/>
  <c r="U84" i="51"/>
  <c r="T84" i="51"/>
  <c r="X84" i="51"/>
  <c r="Y86" i="51"/>
  <c r="U86" i="51"/>
  <c r="W86" i="51"/>
  <c r="X86" i="51"/>
  <c r="V86" i="51"/>
  <c r="T86" i="51"/>
  <c r="Y88" i="51"/>
  <c r="U88" i="51"/>
  <c r="W88" i="51"/>
  <c r="T88" i="51"/>
  <c r="X88" i="51"/>
  <c r="V88" i="51"/>
  <c r="Y90" i="51"/>
  <c r="U90" i="51"/>
  <c r="W90" i="51"/>
  <c r="X90" i="51"/>
  <c r="V90" i="51"/>
  <c r="T90" i="51"/>
  <c r="Y94" i="51"/>
  <c r="U94" i="51"/>
  <c r="W94" i="51"/>
  <c r="T94" i="51"/>
  <c r="X94" i="51"/>
  <c r="V94" i="51"/>
  <c r="Y96" i="51"/>
  <c r="U96" i="51"/>
  <c r="W96" i="51"/>
  <c r="X96" i="51"/>
  <c r="V96" i="51"/>
  <c r="T96" i="51"/>
  <c r="Y99" i="51"/>
  <c r="Y98" i="51" s="1"/>
  <c r="U99" i="51"/>
  <c r="W99" i="51"/>
  <c r="T99" i="51"/>
  <c r="X99" i="51"/>
  <c r="V99" i="51"/>
  <c r="Y102" i="51"/>
  <c r="U102" i="51"/>
  <c r="W102" i="51"/>
  <c r="X102" i="51"/>
  <c r="V102" i="51"/>
  <c r="T102" i="51"/>
  <c r="Y104" i="51"/>
  <c r="U104" i="51"/>
  <c r="W104" i="51"/>
  <c r="T104" i="51"/>
  <c r="X104" i="51"/>
  <c r="V104" i="51"/>
  <c r="X107" i="51"/>
  <c r="T107" i="51"/>
  <c r="V107" i="51"/>
  <c r="W107" i="51"/>
  <c r="U107" i="51"/>
  <c r="Y107" i="51"/>
  <c r="I65" i="51"/>
  <c r="K65" i="51"/>
  <c r="G65" i="51"/>
  <c r="F65" i="51"/>
  <c r="J65" i="51"/>
  <c r="H65" i="51"/>
  <c r="I68" i="51"/>
  <c r="K68" i="51"/>
  <c r="G68" i="51"/>
  <c r="J68" i="51"/>
  <c r="H68" i="51"/>
  <c r="F68" i="51"/>
  <c r="I71" i="51"/>
  <c r="K71" i="51"/>
  <c r="G71" i="51"/>
  <c r="F71" i="51"/>
  <c r="J71" i="51"/>
  <c r="H71" i="51"/>
  <c r="K74" i="51"/>
  <c r="G74" i="51"/>
  <c r="J74" i="51"/>
  <c r="F74" i="51"/>
  <c r="I74" i="51"/>
  <c r="H74" i="51"/>
  <c r="I77" i="51"/>
  <c r="H77" i="51"/>
  <c r="G77" i="51"/>
  <c r="K77" i="51"/>
  <c r="J77" i="51"/>
  <c r="F77" i="51"/>
  <c r="I81" i="51"/>
  <c r="H81" i="51"/>
  <c r="K81" i="51"/>
  <c r="G81" i="51"/>
  <c r="F81" i="51"/>
  <c r="J81" i="51"/>
  <c r="K96" i="51"/>
  <c r="G96" i="51"/>
  <c r="I96" i="51"/>
  <c r="F96" i="51"/>
  <c r="J96" i="51"/>
  <c r="H96" i="51"/>
  <c r="K99" i="51"/>
  <c r="G99" i="51"/>
  <c r="I99" i="51"/>
  <c r="J99" i="51"/>
  <c r="H99" i="51"/>
  <c r="F99" i="51"/>
  <c r="K102" i="51"/>
  <c r="G102" i="51"/>
  <c r="I102" i="51"/>
  <c r="J102" i="51"/>
  <c r="H102" i="51"/>
  <c r="K104" i="51"/>
  <c r="G104" i="51"/>
  <c r="I104" i="51"/>
  <c r="J104" i="51"/>
  <c r="H104" i="51"/>
  <c r="F104" i="51"/>
  <c r="J107" i="51"/>
  <c r="F107" i="51"/>
  <c r="H107" i="51"/>
  <c r="K107" i="51"/>
  <c r="I107" i="51"/>
  <c r="G107" i="51"/>
  <c r="R65" i="51"/>
  <c r="N65" i="51"/>
  <c r="P65" i="51"/>
  <c r="O65" i="51"/>
  <c r="M65" i="51"/>
  <c r="Q65" i="51"/>
  <c r="R68" i="51"/>
  <c r="N68" i="51"/>
  <c r="P68" i="51"/>
  <c r="Q68" i="51"/>
  <c r="O68" i="51"/>
  <c r="M68" i="51"/>
  <c r="R71" i="51"/>
  <c r="N71" i="51"/>
  <c r="P71" i="51"/>
  <c r="O71" i="51"/>
  <c r="M71" i="51"/>
  <c r="Q71" i="51"/>
  <c r="R75" i="51"/>
  <c r="P75" i="51"/>
  <c r="U75" i="51"/>
  <c r="I75" i="51"/>
  <c r="J75" i="51"/>
  <c r="AB75" i="51"/>
  <c r="Q75" i="51"/>
  <c r="AF75" i="51"/>
  <c r="N75" i="51"/>
  <c r="O75" i="51"/>
  <c r="Y75" i="51"/>
  <c r="H75" i="51"/>
  <c r="F75" i="51"/>
  <c r="AE75" i="51"/>
  <c r="X75" i="51"/>
  <c r="AC75" i="51"/>
  <c r="M75" i="51"/>
  <c r="V75" i="51"/>
  <c r="T75" i="51"/>
  <c r="G75" i="51"/>
  <c r="AD75" i="51"/>
  <c r="AA75" i="51"/>
  <c r="W75" i="51"/>
  <c r="K75" i="51"/>
  <c r="Q106" i="51"/>
  <c r="N106" i="51"/>
  <c r="J106" i="51"/>
  <c r="V106" i="51"/>
  <c r="W106" i="51"/>
  <c r="AA106" i="51"/>
  <c r="O106" i="51"/>
  <c r="H106" i="51"/>
  <c r="K106" i="51"/>
  <c r="AE106" i="51"/>
  <c r="M106" i="51"/>
  <c r="R106" i="51"/>
  <c r="F106" i="51"/>
  <c r="X106" i="51"/>
  <c r="U106" i="51"/>
  <c r="AF106" i="51"/>
  <c r="T106" i="51"/>
  <c r="AD106" i="51"/>
  <c r="P106" i="51"/>
  <c r="G106" i="51"/>
  <c r="I106" i="51"/>
  <c r="Y106" i="51"/>
  <c r="AC106" i="51"/>
  <c r="AB106" i="51"/>
  <c r="H62" i="51"/>
  <c r="F62" i="51"/>
  <c r="J62" i="51"/>
  <c r="K62" i="51"/>
  <c r="G62" i="51"/>
  <c r="I62" i="51"/>
  <c r="M62" i="51"/>
  <c r="Q62" i="51"/>
  <c r="O62" i="51"/>
  <c r="N62" i="51"/>
  <c r="P62" i="51"/>
  <c r="R62" i="51"/>
  <c r="V62" i="51"/>
  <c r="T62" i="51"/>
  <c r="X62" i="51"/>
  <c r="U62" i="51"/>
  <c r="W62" i="51"/>
  <c r="Y62" i="51"/>
  <c r="AF61" i="51"/>
  <c r="AD61" i="51"/>
  <c r="AB61" i="51"/>
  <c r="AE61" i="51"/>
  <c r="AC61" i="51"/>
  <c r="AA61" i="51"/>
  <c r="AF64" i="51"/>
  <c r="AD64" i="51"/>
  <c r="AB64" i="51"/>
  <c r="AE64" i="51"/>
  <c r="AC64" i="51"/>
  <c r="AA64" i="51"/>
  <c r="AF65" i="51"/>
  <c r="AD65" i="51"/>
  <c r="AB65" i="51"/>
  <c r="AE65" i="51"/>
  <c r="AC65" i="51"/>
  <c r="AA65" i="51"/>
  <c r="AF67" i="51"/>
  <c r="AD67" i="51"/>
  <c r="AB67" i="51"/>
  <c r="AE67" i="51"/>
  <c r="AC67" i="51"/>
  <c r="AA67" i="51"/>
  <c r="AF68" i="51"/>
  <c r="AD68" i="51"/>
  <c r="AB68" i="51"/>
  <c r="AE68" i="51"/>
  <c r="AC68" i="51"/>
  <c r="AA68" i="51"/>
  <c r="AA69" i="51"/>
  <c r="AC69" i="51"/>
  <c r="AE69" i="51"/>
  <c r="AB69" i="51"/>
  <c r="AD69" i="51"/>
  <c r="AF69" i="51"/>
  <c r="AF71" i="51"/>
  <c r="AE71" i="51"/>
  <c r="AD71" i="51"/>
  <c r="AB71" i="51"/>
  <c r="AC71" i="51"/>
  <c r="AA71" i="51"/>
  <c r="AF72" i="51"/>
  <c r="AD72" i="51"/>
  <c r="AB72" i="51"/>
  <c r="AE72" i="51"/>
  <c r="AC72" i="51"/>
  <c r="AA72" i="51"/>
  <c r="AF74" i="51"/>
  <c r="AD74" i="51"/>
  <c r="AB74" i="51"/>
  <c r="AE74" i="51"/>
  <c r="AC74" i="51"/>
  <c r="AA74" i="51"/>
  <c r="AF76" i="51"/>
  <c r="AD76" i="51"/>
  <c r="AB76" i="51"/>
  <c r="AE76" i="51"/>
  <c r="AC76" i="51"/>
  <c r="AA76" i="51"/>
  <c r="AF77" i="51"/>
  <c r="AD77" i="51"/>
  <c r="AB77" i="51"/>
  <c r="AE77" i="51"/>
  <c r="AC77" i="51"/>
  <c r="AA77" i="51"/>
  <c r="AF80" i="51"/>
  <c r="AD80" i="51"/>
  <c r="AB80" i="51"/>
  <c r="AE80" i="51"/>
  <c r="AC80" i="51"/>
  <c r="AA80" i="51"/>
  <c r="AF81" i="51"/>
  <c r="AD81" i="51"/>
  <c r="AB81" i="51"/>
  <c r="AE81" i="51"/>
  <c r="AC81" i="51"/>
  <c r="AA81" i="51"/>
  <c r="AF83" i="51"/>
  <c r="AD83" i="51"/>
  <c r="AB83" i="51"/>
  <c r="AE83" i="51"/>
  <c r="AC83" i="51"/>
  <c r="AA83" i="51"/>
  <c r="AF84" i="51"/>
  <c r="AD84" i="51"/>
  <c r="AB84" i="51"/>
  <c r="AE84" i="51"/>
  <c r="AC84" i="51"/>
  <c r="AA84" i="51"/>
  <c r="AF85" i="51"/>
  <c r="AD85" i="51"/>
  <c r="AB85" i="51"/>
  <c r="AE85" i="51"/>
  <c r="AC85" i="51"/>
  <c r="AA85" i="51"/>
  <c r="AF86" i="51"/>
  <c r="AD86" i="51"/>
  <c r="AB86" i="51"/>
  <c r="AE86" i="51"/>
  <c r="AC86" i="51"/>
  <c r="AA86" i="51"/>
  <c r="AF87" i="51"/>
  <c r="AD87" i="51"/>
  <c r="AB87" i="51"/>
  <c r="AE87" i="51"/>
  <c r="AC87" i="51"/>
  <c r="AA87" i="51"/>
  <c r="AF88" i="51"/>
  <c r="AD88" i="51"/>
  <c r="AB88" i="51"/>
  <c r="AE88" i="51"/>
  <c r="AC88" i="51"/>
  <c r="AA88" i="51"/>
  <c r="AF89" i="51"/>
  <c r="AD89" i="51"/>
  <c r="AB89" i="51"/>
  <c r="AE89" i="51"/>
  <c r="AC89" i="51"/>
  <c r="AA89" i="51"/>
  <c r="AF90" i="51"/>
  <c r="AD90" i="51"/>
  <c r="AB90" i="51"/>
  <c r="AE90" i="51"/>
  <c r="AC90" i="51"/>
  <c r="AA90" i="51"/>
  <c r="AF92" i="51"/>
  <c r="AD92" i="51"/>
  <c r="AB92" i="51"/>
  <c r="AE92" i="51"/>
  <c r="AC92" i="51"/>
  <c r="AA92" i="51"/>
  <c r="AF94" i="51"/>
  <c r="AD94" i="51"/>
  <c r="AB94" i="51"/>
  <c r="AE94" i="51"/>
  <c r="AC94" i="51"/>
  <c r="AA94" i="51"/>
  <c r="AF95" i="51"/>
  <c r="AD95" i="51"/>
  <c r="AB95" i="51"/>
  <c r="AE95" i="51"/>
  <c r="AC95" i="51"/>
  <c r="AA95" i="51"/>
  <c r="AF96" i="51"/>
  <c r="AD96" i="51"/>
  <c r="AB96" i="51"/>
  <c r="AE96" i="51"/>
  <c r="AC96" i="51"/>
  <c r="AA96" i="51"/>
  <c r="AF97" i="51"/>
  <c r="AD97" i="51"/>
  <c r="AB97" i="51"/>
  <c r="AE97" i="51"/>
  <c r="AC97" i="51"/>
  <c r="AA97" i="51"/>
  <c r="AF99" i="51"/>
  <c r="AD99" i="51"/>
  <c r="AB99" i="51"/>
  <c r="AE99" i="51"/>
  <c r="AC99" i="51"/>
  <c r="AA99" i="51"/>
  <c r="AF100" i="51"/>
  <c r="AD100" i="51"/>
  <c r="AB100" i="51"/>
  <c r="AE100" i="51"/>
  <c r="AC100" i="51"/>
  <c r="AA100" i="51"/>
  <c r="AF102" i="51"/>
  <c r="AD102" i="51"/>
  <c r="AB102" i="51"/>
  <c r="AE102" i="51"/>
  <c r="AC102" i="51"/>
  <c r="AA102" i="51"/>
  <c r="AF103" i="51"/>
  <c r="AD103" i="51"/>
  <c r="AB103" i="51"/>
  <c r="AE103" i="51"/>
  <c r="AC103" i="51"/>
  <c r="AA103" i="51"/>
  <c r="AF104" i="51"/>
  <c r="AD104" i="51"/>
  <c r="AB104" i="51"/>
  <c r="AE104" i="51"/>
  <c r="AC104" i="51"/>
  <c r="AA104" i="51"/>
  <c r="AF105" i="51"/>
  <c r="AD105" i="51"/>
  <c r="AB105" i="51"/>
  <c r="AE105" i="51"/>
  <c r="AC105" i="51"/>
  <c r="AA105" i="51"/>
  <c r="AE107" i="51"/>
  <c r="AC107" i="51"/>
  <c r="AA107" i="51"/>
  <c r="AF107" i="51"/>
  <c r="AD107" i="51"/>
  <c r="AB107" i="51"/>
  <c r="AA62" i="51"/>
  <c r="AC62" i="51"/>
  <c r="AE62" i="51"/>
  <c r="AB62" i="51"/>
  <c r="AD62" i="51"/>
  <c r="AF62" i="51"/>
  <c r="Y82" i="51" l="1"/>
  <c r="F82" i="51"/>
  <c r="AB82" i="51"/>
  <c r="I82" i="51"/>
  <c r="AA82" i="51"/>
  <c r="M82" i="51"/>
  <c r="AC82" i="51"/>
  <c r="AF82" i="51"/>
  <c r="X82" i="51"/>
  <c r="Q82" i="51"/>
  <c r="P82" i="51"/>
  <c r="J82" i="51"/>
  <c r="W82" i="51"/>
  <c r="R82" i="51"/>
  <c r="K82" i="51"/>
  <c r="AD82" i="51"/>
  <c r="T82" i="51"/>
  <c r="O82" i="51"/>
  <c r="AE82" i="51"/>
  <c r="V82" i="51"/>
  <c r="U82" i="51"/>
  <c r="N82" i="51"/>
  <c r="H82" i="51"/>
  <c r="G82" i="51"/>
  <c r="F98" i="51"/>
  <c r="H98" i="51"/>
  <c r="K98" i="51"/>
  <c r="G98" i="51"/>
  <c r="T98" i="51"/>
  <c r="U98" i="51"/>
  <c r="M98" i="51"/>
  <c r="Q98" i="51"/>
  <c r="R98" i="51"/>
  <c r="O98" i="51"/>
  <c r="AB98" i="51"/>
  <c r="AD98" i="51"/>
  <c r="AC98" i="51"/>
  <c r="AE98" i="51"/>
  <c r="I98" i="51"/>
  <c r="X98" i="51"/>
  <c r="P98" i="51"/>
  <c r="W98" i="51"/>
  <c r="N98" i="51"/>
  <c r="AA98" i="51"/>
  <c r="AF98" i="51"/>
  <c r="J98" i="51"/>
  <c r="V98" i="51"/>
  <c r="G9" i="5"/>
  <c r="X86" i="53" l="1"/>
  <c r="Y86" i="53"/>
  <c r="Z86" i="53"/>
  <c r="AA86" i="53"/>
  <c r="AB86" i="53"/>
  <c r="AC86" i="53"/>
  <c r="AD86" i="53"/>
  <c r="Q83" i="53"/>
  <c r="W83" i="53" s="1"/>
  <c r="Q82" i="53"/>
  <c r="W82" i="53" s="1"/>
  <c r="Q81" i="53"/>
  <c r="W81" i="53" s="1"/>
  <c r="Q80" i="53"/>
  <c r="W80" i="53" s="1"/>
  <c r="Q78" i="53"/>
  <c r="W78" i="53" s="1"/>
  <c r="Q77" i="53"/>
  <c r="W77" i="53" s="1"/>
  <c r="Q76" i="53"/>
  <c r="W76" i="53" s="1"/>
  <c r="Q75" i="53"/>
  <c r="W75" i="53" s="1"/>
  <c r="Q74" i="53"/>
  <c r="W74" i="53" s="1"/>
  <c r="Q73" i="53"/>
  <c r="W73" i="53" s="1"/>
  <c r="Q71" i="53"/>
  <c r="W71" i="53" s="1"/>
  <c r="Q69" i="53"/>
  <c r="V69" i="53" s="1"/>
  <c r="Q68" i="53"/>
  <c r="W68" i="53" s="1"/>
  <c r="Q67" i="53"/>
  <c r="V67" i="53" s="1"/>
  <c r="Q65" i="53"/>
  <c r="W65" i="53" s="1"/>
  <c r="Q64" i="53"/>
  <c r="Q63" i="53"/>
  <c r="W63" i="53" s="1"/>
  <c r="Q62" i="53"/>
  <c r="Q60" i="53"/>
  <c r="W60" i="53" s="1"/>
  <c r="Q59" i="53"/>
  <c r="V59" i="53" s="1"/>
  <c r="Q58" i="53"/>
  <c r="Q52" i="53"/>
  <c r="W52" i="53" s="1"/>
  <c r="Q51" i="53"/>
  <c r="W51" i="53" s="1"/>
  <c r="Q50" i="53"/>
  <c r="W50" i="53" s="1"/>
  <c r="Q46" i="53"/>
  <c r="W46" i="53" s="1"/>
  <c r="Q45" i="53"/>
  <c r="W45" i="53" s="1"/>
  <c r="Q43" i="53"/>
  <c r="W43" i="53" s="1"/>
  <c r="Q42" i="53"/>
  <c r="W42" i="53" s="1"/>
  <c r="Q41" i="53"/>
  <c r="W41" i="53" s="1"/>
  <c r="Q40" i="53"/>
  <c r="W40" i="53" s="1"/>
  <c r="Q39" i="53"/>
  <c r="W39" i="53" s="1"/>
  <c r="Q38" i="53"/>
  <c r="W38" i="53" s="1"/>
  <c r="Q37" i="53"/>
  <c r="W37" i="53" s="1"/>
  <c r="Q35" i="53"/>
  <c r="W35" i="53" s="1"/>
  <c r="Q34" i="53"/>
  <c r="V34" i="53" s="1"/>
  <c r="Q33" i="53"/>
  <c r="W33" i="53" s="1"/>
  <c r="Q32" i="53"/>
  <c r="V32" i="53" s="1"/>
  <c r="Q31" i="53"/>
  <c r="W31" i="53" s="1"/>
  <c r="Q29" i="53"/>
  <c r="W29" i="53" s="1"/>
  <c r="Q27" i="53"/>
  <c r="W27" i="53" s="1"/>
  <c r="Q26" i="53"/>
  <c r="W26" i="53" s="1"/>
  <c r="Q25" i="53"/>
  <c r="W25" i="53" s="1"/>
  <c r="Q23" i="53"/>
  <c r="W23" i="53" s="1"/>
  <c r="Q22" i="53"/>
  <c r="V22" i="53" s="1"/>
  <c r="Q21" i="53"/>
  <c r="W21" i="53" s="1"/>
  <c r="Q20" i="53"/>
  <c r="V20" i="53" s="1"/>
  <c r="Q19" i="53"/>
  <c r="W19" i="53" s="1"/>
  <c r="Q14" i="53"/>
  <c r="Q15" i="53"/>
  <c r="Q16" i="53"/>
  <c r="Q47" i="53"/>
  <c r="D35" i="58" s="1"/>
  <c r="J83" i="53"/>
  <c r="P83" i="53" s="1"/>
  <c r="J82" i="53"/>
  <c r="P82" i="53" s="1"/>
  <c r="J81" i="53"/>
  <c r="P81" i="53" s="1"/>
  <c r="J80" i="53"/>
  <c r="P80" i="53" s="1"/>
  <c r="J78" i="53"/>
  <c r="P78" i="53" s="1"/>
  <c r="J77" i="53"/>
  <c r="O77" i="53" s="1"/>
  <c r="J76" i="53"/>
  <c r="P76" i="53" s="1"/>
  <c r="J75" i="53"/>
  <c r="O75" i="53" s="1"/>
  <c r="J74" i="53"/>
  <c r="P74" i="53" s="1"/>
  <c r="J73" i="53"/>
  <c r="O73" i="53" s="1"/>
  <c r="J71" i="53"/>
  <c r="P71" i="53" s="1"/>
  <c r="J70" i="53"/>
  <c r="P70" i="53" s="1"/>
  <c r="P69" i="53"/>
  <c r="J68" i="53"/>
  <c r="P68" i="53" s="1"/>
  <c r="J67" i="53"/>
  <c r="P67" i="53" s="1"/>
  <c r="J65" i="53"/>
  <c r="P65" i="53" s="1"/>
  <c r="J64" i="53"/>
  <c r="J63" i="53"/>
  <c r="P63" i="53" s="1"/>
  <c r="J62" i="53"/>
  <c r="J60" i="53"/>
  <c r="P60" i="53" s="1"/>
  <c r="J59" i="53"/>
  <c r="P59" i="53" s="1"/>
  <c r="J52" i="53"/>
  <c r="P52" i="53" s="1"/>
  <c r="J51" i="53"/>
  <c r="P51" i="53" s="1"/>
  <c r="J50" i="53"/>
  <c r="P50" i="53" s="1"/>
  <c r="J47" i="53"/>
  <c r="P47" i="53" s="1"/>
  <c r="J46" i="53"/>
  <c r="O46" i="53" s="1"/>
  <c r="J45" i="53"/>
  <c r="P45" i="53" s="1"/>
  <c r="J43" i="53"/>
  <c r="O43" i="53" s="1"/>
  <c r="J42" i="53"/>
  <c r="P42" i="53" s="1"/>
  <c r="J41" i="53"/>
  <c r="O41" i="53" s="1"/>
  <c r="J40" i="53"/>
  <c r="P40" i="53" s="1"/>
  <c r="J39" i="53"/>
  <c r="O39" i="53" s="1"/>
  <c r="J38" i="53"/>
  <c r="P38" i="53" s="1"/>
  <c r="J37" i="53"/>
  <c r="O37" i="53" s="1"/>
  <c r="J35" i="53"/>
  <c r="P35" i="53" s="1"/>
  <c r="J34" i="53"/>
  <c r="P34" i="53" s="1"/>
  <c r="J33" i="53"/>
  <c r="P33" i="53" s="1"/>
  <c r="J32" i="53"/>
  <c r="P32" i="53" s="1"/>
  <c r="J31" i="53"/>
  <c r="P31" i="53" s="1"/>
  <c r="J29" i="53"/>
  <c r="P29" i="53" s="1"/>
  <c r="J27" i="53"/>
  <c r="P27" i="53" s="1"/>
  <c r="J26" i="53"/>
  <c r="P26" i="53" s="1"/>
  <c r="J25" i="53"/>
  <c r="P25" i="53" s="1"/>
  <c r="J23" i="53"/>
  <c r="O23" i="53" s="1"/>
  <c r="J22" i="53"/>
  <c r="J21" i="53"/>
  <c r="J20" i="53"/>
  <c r="J19" i="53"/>
  <c r="O19" i="53" s="1"/>
  <c r="J14" i="53"/>
  <c r="J15" i="53"/>
  <c r="M15" i="53" s="1"/>
  <c r="J16" i="53"/>
  <c r="Q13" i="53"/>
  <c r="J13" i="53"/>
  <c r="C83" i="53"/>
  <c r="I83" i="53" s="1"/>
  <c r="C82" i="53"/>
  <c r="H82" i="53" s="1"/>
  <c r="C81" i="53"/>
  <c r="I81" i="53" s="1"/>
  <c r="C80" i="53"/>
  <c r="H80" i="53" s="1"/>
  <c r="C78" i="53"/>
  <c r="I78" i="53" s="1"/>
  <c r="C77" i="53"/>
  <c r="H77" i="53" s="1"/>
  <c r="C76" i="53"/>
  <c r="I76" i="53" s="1"/>
  <c r="C75" i="53"/>
  <c r="H75" i="53" s="1"/>
  <c r="C74" i="53"/>
  <c r="I74" i="53" s="1"/>
  <c r="C73" i="53"/>
  <c r="H73" i="53" s="1"/>
  <c r="C71" i="53"/>
  <c r="I71" i="53" s="1"/>
  <c r="C70" i="53"/>
  <c r="I70" i="53" s="1"/>
  <c r="C68" i="53"/>
  <c r="I68" i="53" s="1"/>
  <c r="C67" i="53"/>
  <c r="I67" i="53" s="1"/>
  <c r="C65" i="53"/>
  <c r="I65" i="53" s="1"/>
  <c r="C64" i="53"/>
  <c r="C63" i="53"/>
  <c r="I63" i="53" s="1"/>
  <c r="C62" i="53"/>
  <c r="C60" i="53"/>
  <c r="I60" i="53" s="1"/>
  <c r="C59" i="53"/>
  <c r="I59" i="53" s="1"/>
  <c r="C58" i="53"/>
  <c r="C52" i="53"/>
  <c r="I52" i="53" s="1"/>
  <c r="C51" i="53"/>
  <c r="I51" i="53" s="1"/>
  <c r="C50" i="53"/>
  <c r="I50" i="53" s="1"/>
  <c r="C46" i="53"/>
  <c r="H46" i="53" s="1"/>
  <c r="C45" i="53"/>
  <c r="I45" i="53" s="1"/>
  <c r="C43" i="53"/>
  <c r="H43" i="53" s="1"/>
  <c r="C42" i="53"/>
  <c r="I42" i="53" s="1"/>
  <c r="C41" i="53"/>
  <c r="H41" i="53" s="1"/>
  <c r="C40" i="53"/>
  <c r="I40" i="53" s="1"/>
  <c r="C39" i="53"/>
  <c r="H39" i="53" s="1"/>
  <c r="C38" i="53"/>
  <c r="I38" i="53" s="1"/>
  <c r="C37" i="53"/>
  <c r="H37" i="53" s="1"/>
  <c r="C35" i="53"/>
  <c r="I35" i="53" s="1"/>
  <c r="C34" i="53"/>
  <c r="H34" i="53" s="1"/>
  <c r="C33" i="53"/>
  <c r="I33" i="53" s="1"/>
  <c r="C32" i="53"/>
  <c r="H32" i="53" s="1"/>
  <c r="C31" i="53"/>
  <c r="I31" i="53" s="1"/>
  <c r="C29" i="53"/>
  <c r="I29" i="53" s="1"/>
  <c r="C47" i="53"/>
  <c r="I47" i="53" s="1"/>
  <c r="P20" i="53" l="1"/>
  <c r="O21" i="53"/>
  <c r="P22" i="53"/>
  <c r="J16" i="60"/>
  <c r="J30" i="60" s="1"/>
  <c r="Q17" i="60"/>
  <c r="Q31" i="60" s="1"/>
  <c r="C15" i="60"/>
  <c r="Q15" i="60"/>
  <c r="Q29" i="60" s="1"/>
  <c r="J17" i="60"/>
  <c r="J31" i="60" s="1"/>
  <c r="Q16" i="60"/>
  <c r="Q30" i="60" s="1"/>
  <c r="C17" i="60"/>
  <c r="C16" i="60"/>
  <c r="P15" i="53"/>
  <c r="W15" i="53"/>
  <c r="N15" i="53"/>
  <c r="U15" i="53"/>
  <c r="L15" i="53"/>
  <c r="I62" i="53"/>
  <c r="W64" i="53"/>
  <c r="O15" i="53"/>
  <c r="P62" i="53"/>
  <c r="T15" i="53"/>
  <c r="I64" i="53"/>
  <c r="I17" i="60" s="1"/>
  <c r="W62" i="53"/>
  <c r="P64" i="53"/>
  <c r="P17" i="60" s="1"/>
  <c r="V15" i="53"/>
  <c r="W14" i="53"/>
  <c r="U14" i="53"/>
  <c r="U16" i="53"/>
  <c r="S15" i="53"/>
  <c r="S14" i="53"/>
  <c r="V33" i="53"/>
  <c r="V21" i="53"/>
  <c r="V26" i="53"/>
  <c r="V39" i="53"/>
  <c r="V43" i="53"/>
  <c r="V64" i="53"/>
  <c r="V75" i="53"/>
  <c r="V80" i="53"/>
  <c r="P16" i="53"/>
  <c r="T19" i="53"/>
  <c r="T23" i="53"/>
  <c r="T31" i="53"/>
  <c r="T35" i="53"/>
  <c r="T37" i="53"/>
  <c r="T41" i="53"/>
  <c r="T46" i="53"/>
  <c r="T51" i="53"/>
  <c r="T60" i="53"/>
  <c r="T62" i="53"/>
  <c r="T71" i="53"/>
  <c r="T73" i="53"/>
  <c r="T77" i="53"/>
  <c r="T82" i="53"/>
  <c r="J86" i="53"/>
  <c r="W16" i="53"/>
  <c r="S16" i="53"/>
  <c r="V19" i="53"/>
  <c r="T21" i="53"/>
  <c r="V23" i="53"/>
  <c r="T26" i="53"/>
  <c r="V31" i="53"/>
  <c r="T33" i="53"/>
  <c r="V35" i="53"/>
  <c r="V37" i="53"/>
  <c r="T39" i="53"/>
  <c r="V41" i="53"/>
  <c r="T43" i="53"/>
  <c r="V46" i="53"/>
  <c r="V51" i="53"/>
  <c r="V60" i="53"/>
  <c r="V62" i="53"/>
  <c r="T64" i="53"/>
  <c r="V71" i="53"/>
  <c r="V73" i="53"/>
  <c r="T75" i="53"/>
  <c r="V77" i="53"/>
  <c r="T80" i="53"/>
  <c r="V82" i="53"/>
  <c r="Q86" i="53"/>
  <c r="S80" i="53"/>
  <c r="U80" i="53"/>
  <c r="T81" i="53"/>
  <c r="V81" i="53"/>
  <c r="S82" i="53"/>
  <c r="U82" i="53"/>
  <c r="T83" i="53"/>
  <c r="V83" i="53"/>
  <c r="S81" i="53"/>
  <c r="U81" i="53"/>
  <c r="S83" i="53"/>
  <c r="U83" i="53"/>
  <c r="S73" i="53"/>
  <c r="U73" i="53"/>
  <c r="T74" i="53"/>
  <c r="V74" i="53"/>
  <c r="S75" i="53"/>
  <c r="U75" i="53"/>
  <c r="T76" i="53"/>
  <c r="V76" i="53"/>
  <c r="S77" i="53"/>
  <c r="U77" i="53"/>
  <c r="T78" i="53"/>
  <c r="V78" i="53"/>
  <c r="S74" i="53"/>
  <c r="U74" i="53"/>
  <c r="S76" i="53"/>
  <c r="U76" i="53"/>
  <c r="S78" i="53"/>
  <c r="U78" i="53"/>
  <c r="S67" i="53"/>
  <c r="U67" i="53"/>
  <c r="W67" i="53"/>
  <c r="T68" i="53"/>
  <c r="V68" i="53"/>
  <c r="S69" i="53"/>
  <c r="U69" i="53"/>
  <c r="W69" i="53"/>
  <c r="T67" i="53"/>
  <c r="S68" i="53"/>
  <c r="U68" i="53"/>
  <c r="T69" i="53"/>
  <c r="S71" i="53"/>
  <c r="U71" i="53"/>
  <c r="S62" i="53"/>
  <c r="U62" i="53"/>
  <c r="T63" i="53"/>
  <c r="V63" i="53"/>
  <c r="S64" i="53"/>
  <c r="U64" i="53"/>
  <c r="T65" i="53"/>
  <c r="V65" i="53"/>
  <c r="S63" i="53"/>
  <c r="U63" i="53"/>
  <c r="S65" i="53"/>
  <c r="U65" i="53"/>
  <c r="S59" i="53"/>
  <c r="U59" i="53"/>
  <c r="W59" i="53"/>
  <c r="W86" i="53" s="1"/>
  <c r="T59" i="53"/>
  <c r="S60" i="53"/>
  <c r="U60" i="53"/>
  <c r="T50" i="53"/>
  <c r="V50" i="53"/>
  <c r="S51" i="53"/>
  <c r="U51" i="53"/>
  <c r="T52" i="53"/>
  <c r="V52" i="53"/>
  <c r="S50" i="53"/>
  <c r="U50" i="53"/>
  <c r="S52" i="53"/>
  <c r="U52" i="53"/>
  <c r="S37" i="53"/>
  <c r="U37" i="53"/>
  <c r="T38" i="53"/>
  <c r="V38" i="53"/>
  <c r="S39" i="53"/>
  <c r="U39" i="53"/>
  <c r="T40" i="53"/>
  <c r="V40" i="53"/>
  <c r="S41" i="53"/>
  <c r="U41" i="53"/>
  <c r="T42" i="53"/>
  <c r="V42" i="53"/>
  <c r="S43" i="53"/>
  <c r="U43" i="53"/>
  <c r="T45" i="53"/>
  <c r="V45" i="53"/>
  <c r="S46" i="53"/>
  <c r="U46" i="53"/>
  <c r="S38" i="53"/>
  <c r="U38" i="53"/>
  <c r="S40" i="53"/>
  <c r="U40" i="53"/>
  <c r="S42" i="53"/>
  <c r="U42" i="53"/>
  <c r="S45" i="53"/>
  <c r="U45" i="53"/>
  <c r="S32" i="53"/>
  <c r="U32" i="53"/>
  <c r="W32" i="53"/>
  <c r="S34" i="53"/>
  <c r="U34" i="53"/>
  <c r="W34" i="53"/>
  <c r="S31" i="53"/>
  <c r="U31" i="53"/>
  <c r="T32" i="53"/>
  <c r="S33" i="53"/>
  <c r="U33" i="53"/>
  <c r="T34" i="53"/>
  <c r="S35" i="53"/>
  <c r="U35" i="53"/>
  <c r="T29" i="53"/>
  <c r="V29" i="53"/>
  <c r="S29" i="53"/>
  <c r="U29" i="53"/>
  <c r="T25" i="53"/>
  <c r="V25" i="53"/>
  <c r="S26" i="53"/>
  <c r="U26" i="53"/>
  <c r="T27" i="53"/>
  <c r="V27" i="53"/>
  <c r="S25" i="53"/>
  <c r="U25" i="53"/>
  <c r="S27" i="53"/>
  <c r="U27" i="53"/>
  <c r="S20" i="53"/>
  <c r="U20" i="53"/>
  <c r="W20" i="53"/>
  <c r="S22" i="53"/>
  <c r="U22" i="53"/>
  <c r="W22" i="53"/>
  <c r="S19" i="53"/>
  <c r="U19" i="53"/>
  <c r="T20" i="53"/>
  <c r="S21" i="53"/>
  <c r="U21" i="53"/>
  <c r="T22" i="53"/>
  <c r="S23" i="53"/>
  <c r="U23" i="53"/>
  <c r="V16" i="53"/>
  <c r="T16" i="53"/>
  <c r="V14" i="53"/>
  <c r="T14" i="53"/>
  <c r="P14" i="53"/>
  <c r="N14" i="53"/>
  <c r="N16" i="53"/>
  <c r="O80" i="53"/>
  <c r="H31" i="53"/>
  <c r="H38" i="53"/>
  <c r="F40" i="53"/>
  <c r="H42" i="53"/>
  <c r="F45" i="53"/>
  <c r="H47" i="53"/>
  <c r="F51" i="53"/>
  <c r="H59" i="53"/>
  <c r="F62" i="53"/>
  <c r="H64" i="53"/>
  <c r="F67" i="53"/>
  <c r="F70" i="53"/>
  <c r="F74" i="53"/>
  <c r="H76" i="53"/>
  <c r="F78" i="53"/>
  <c r="H81" i="53"/>
  <c r="F83" i="53"/>
  <c r="M22" i="53"/>
  <c r="M26" i="53"/>
  <c r="M34" i="53"/>
  <c r="O42" i="53"/>
  <c r="M45" i="53"/>
  <c r="O47" i="53"/>
  <c r="M51" i="53"/>
  <c r="M59" i="53"/>
  <c r="O62" i="53"/>
  <c r="M64" i="53"/>
  <c r="O69" i="53"/>
  <c r="M70" i="53"/>
  <c r="M74" i="53"/>
  <c r="O76" i="53"/>
  <c r="M78" i="53"/>
  <c r="M80" i="53"/>
  <c r="O82" i="53"/>
  <c r="F31" i="53"/>
  <c r="F38" i="53"/>
  <c r="H40" i="53"/>
  <c r="F42" i="53"/>
  <c r="H45" i="53"/>
  <c r="F47" i="53"/>
  <c r="H51" i="53"/>
  <c r="F59" i="53"/>
  <c r="H62" i="53"/>
  <c r="F64" i="53"/>
  <c r="H67" i="53"/>
  <c r="H70" i="53"/>
  <c r="H74" i="53"/>
  <c r="F76" i="53"/>
  <c r="H78" i="53"/>
  <c r="F81" i="53"/>
  <c r="H83" i="53"/>
  <c r="L16" i="53"/>
  <c r="O22" i="53"/>
  <c r="O26" i="53"/>
  <c r="O34" i="53"/>
  <c r="M42" i="53"/>
  <c r="O45" i="53"/>
  <c r="M47" i="53"/>
  <c r="O51" i="53"/>
  <c r="O59" i="53"/>
  <c r="M62" i="53"/>
  <c r="O64" i="53"/>
  <c r="M69" i="53"/>
  <c r="O70" i="53"/>
  <c r="O74" i="53"/>
  <c r="M76" i="53"/>
  <c r="O78" i="53"/>
  <c r="M82" i="53"/>
  <c r="O32" i="53"/>
  <c r="M32" i="53"/>
  <c r="O38" i="53"/>
  <c r="M40" i="53"/>
  <c r="M38" i="53"/>
  <c r="O40" i="53"/>
  <c r="O20" i="53"/>
  <c r="M20" i="53"/>
  <c r="L14" i="53"/>
  <c r="M67" i="53"/>
  <c r="O67" i="53"/>
  <c r="L80" i="53"/>
  <c r="N80" i="53"/>
  <c r="M81" i="53"/>
  <c r="O81" i="53"/>
  <c r="L82" i="53"/>
  <c r="N82" i="53"/>
  <c r="M83" i="53"/>
  <c r="O83" i="53"/>
  <c r="L81" i="53"/>
  <c r="N81" i="53"/>
  <c r="L83" i="53"/>
  <c r="N83" i="53"/>
  <c r="L73" i="53"/>
  <c r="N73" i="53"/>
  <c r="P73" i="53"/>
  <c r="L75" i="53"/>
  <c r="N75" i="53"/>
  <c r="P75" i="53"/>
  <c r="L77" i="53"/>
  <c r="N77" i="53"/>
  <c r="P77" i="53"/>
  <c r="M73" i="53"/>
  <c r="L74" i="53"/>
  <c r="N74" i="53"/>
  <c r="M75" i="53"/>
  <c r="L76" i="53"/>
  <c r="N76" i="53"/>
  <c r="M77" i="53"/>
  <c r="L78" i="53"/>
  <c r="N78" i="53"/>
  <c r="L67" i="53"/>
  <c r="N67" i="53"/>
  <c r="M68" i="53"/>
  <c r="O68" i="53"/>
  <c r="L69" i="53"/>
  <c r="N69" i="53"/>
  <c r="L70" i="53"/>
  <c r="N70" i="53"/>
  <c r="M71" i="53"/>
  <c r="O71" i="53"/>
  <c r="L68" i="53"/>
  <c r="N68" i="53"/>
  <c r="L71" i="53"/>
  <c r="N71" i="53"/>
  <c r="L62" i="53"/>
  <c r="N62" i="53"/>
  <c r="M63" i="53"/>
  <c r="O63" i="53"/>
  <c r="L64" i="53"/>
  <c r="N64" i="53"/>
  <c r="M65" i="53"/>
  <c r="O65" i="53"/>
  <c r="L63" i="53"/>
  <c r="N63" i="53"/>
  <c r="L65" i="53"/>
  <c r="N65" i="53"/>
  <c r="L59" i="53"/>
  <c r="N59" i="53"/>
  <c r="M60" i="53"/>
  <c r="O60" i="53"/>
  <c r="L60" i="53"/>
  <c r="N60" i="53"/>
  <c r="M50" i="53"/>
  <c r="O50" i="53"/>
  <c r="L51" i="53"/>
  <c r="N51" i="53"/>
  <c r="M52" i="53"/>
  <c r="O52" i="53"/>
  <c r="L50" i="53"/>
  <c r="N50" i="53"/>
  <c r="L52" i="53"/>
  <c r="N52" i="53"/>
  <c r="L37" i="53"/>
  <c r="N37" i="53"/>
  <c r="P37" i="53"/>
  <c r="L39" i="53"/>
  <c r="N39" i="53"/>
  <c r="P39" i="53"/>
  <c r="L41" i="53"/>
  <c r="N41" i="53"/>
  <c r="P41" i="53"/>
  <c r="L43" i="53"/>
  <c r="N43" i="53"/>
  <c r="P43" i="53"/>
  <c r="L46" i="53"/>
  <c r="N46" i="53"/>
  <c r="P46" i="53"/>
  <c r="M37" i="53"/>
  <c r="L38" i="53"/>
  <c r="N38" i="53"/>
  <c r="M39" i="53"/>
  <c r="L40" i="53"/>
  <c r="N40" i="53"/>
  <c r="M41" i="53"/>
  <c r="L42" i="53"/>
  <c r="N42" i="53"/>
  <c r="M43" i="53"/>
  <c r="L45" i="53"/>
  <c r="N45" i="53"/>
  <c r="M46" i="53"/>
  <c r="L47" i="53"/>
  <c r="N47" i="53"/>
  <c r="M31" i="53"/>
  <c r="O31" i="53"/>
  <c r="L32" i="53"/>
  <c r="N32" i="53"/>
  <c r="M33" i="53"/>
  <c r="O33" i="53"/>
  <c r="L34" i="53"/>
  <c r="N34" i="53"/>
  <c r="M35" i="53"/>
  <c r="O35" i="53"/>
  <c r="L31" i="53"/>
  <c r="N31" i="53"/>
  <c r="L33" i="53"/>
  <c r="N33" i="53"/>
  <c r="L35" i="53"/>
  <c r="N35" i="53"/>
  <c r="M29" i="53"/>
  <c r="O29" i="53"/>
  <c r="L29" i="53"/>
  <c r="N29" i="53"/>
  <c r="M25" i="53"/>
  <c r="O25" i="53"/>
  <c r="L26" i="53"/>
  <c r="N26" i="53"/>
  <c r="M27" i="53"/>
  <c r="O27" i="53"/>
  <c r="L25" i="53"/>
  <c r="N25" i="53"/>
  <c r="L27" i="53"/>
  <c r="N27" i="53"/>
  <c r="L19" i="53"/>
  <c r="N19" i="53"/>
  <c r="P19" i="53"/>
  <c r="L21" i="53"/>
  <c r="N21" i="53"/>
  <c r="P21" i="53"/>
  <c r="L23" i="53"/>
  <c r="N23" i="53"/>
  <c r="P23" i="53"/>
  <c r="M19" i="53"/>
  <c r="L20" i="53"/>
  <c r="N20" i="53"/>
  <c r="M21" i="53"/>
  <c r="L22" i="53"/>
  <c r="N22" i="53"/>
  <c r="M23" i="53"/>
  <c r="O16" i="53"/>
  <c r="M16" i="53"/>
  <c r="O14" i="53"/>
  <c r="M14" i="53"/>
  <c r="E80" i="53"/>
  <c r="G80" i="53"/>
  <c r="I80" i="53"/>
  <c r="E82" i="53"/>
  <c r="G82" i="53"/>
  <c r="I82" i="53"/>
  <c r="F80" i="53"/>
  <c r="E81" i="53"/>
  <c r="G81" i="53"/>
  <c r="F82" i="53"/>
  <c r="E83" i="53"/>
  <c r="G83" i="53"/>
  <c r="E73" i="53"/>
  <c r="G73" i="53"/>
  <c r="I73" i="53"/>
  <c r="E75" i="53"/>
  <c r="G75" i="53"/>
  <c r="I75" i="53"/>
  <c r="E77" i="53"/>
  <c r="G77" i="53"/>
  <c r="I77" i="53"/>
  <c r="F73" i="53"/>
  <c r="E74" i="53"/>
  <c r="G74" i="53"/>
  <c r="F75" i="53"/>
  <c r="E76" i="53"/>
  <c r="G76" i="53"/>
  <c r="F77" i="53"/>
  <c r="E78" i="53"/>
  <c r="G78" i="53"/>
  <c r="E67" i="53"/>
  <c r="G67" i="53"/>
  <c r="F68" i="53"/>
  <c r="H68" i="53"/>
  <c r="E70" i="53"/>
  <c r="G70" i="53"/>
  <c r="F71" i="53"/>
  <c r="H71" i="53"/>
  <c r="E68" i="53"/>
  <c r="G68" i="53"/>
  <c r="E71" i="53"/>
  <c r="G71" i="53"/>
  <c r="E62" i="53"/>
  <c r="G62" i="53"/>
  <c r="F63" i="53"/>
  <c r="H63" i="53"/>
  <c r="E64" i="53"/>
  <c r="G64" i="53"/>
  <c r="F65" i="53"/>
  <c r="H65" i="53"/>
  <c r="E63" i="53"/>
  <c r="G63" i="53"/>
  <c r="E65" i="53"/>
  <c r="G65" i="53"/>
  <c r="E59" i="53"/>
  <c r="G59" i="53"/>
  <c r="F60" i="53"/>
  <c r="H60" i="53"/>
  <c r="E60" i="53"/>
  <c r="G60" i="53"/>
  <c r="F50" i="53"/>
  <c r="H50" i="53"/>
  <c r="E51" i="53"/>
  <c r="G51" i="53"/>
  <c r="F52" i="53"/>
  <c r="H52" i="53"/>
  <c r="E50" i="53"/>
  <c r="G50" i="53"/>
  <c r="E52" i="53"/>
  <c r="G52" i="53"/>
  <c r="E37" i="53"/>
  <c r="G37" i="53"/>
  <c r="I37" i="53"/>
  <c r="E39" i="53"/>
  <c r="G39" i="53"/>
  <c r="I39" i="53"/>
  <c r="E41" i="53"/>
  <c r="G41" i="53"/>
  <c r="I41" i="53"/>
  <c r="E43" i="53"/>
  <c r="G43" i="53"/>
  <c r="I43" i="53"/>
  <c r="E46" i="53"/>
  <c r="G46" i="53"/>
  <c r="I46" i="53"/>
  <c r="F37" i="53"/>
  <c r="E38" i="53"/>
  <c r="G38" i="53"/>
  <c r="F39" i="53"/>
  <c r="E40" i="53"/>
  <c r="G40" i="53"/>
  <c r="F41" i="53"/>
  <c r="E42" i="53"/>
  <c r="G42" i="53"/>
  <c r="F43" i="53"/>
  <c r="E45" i="53"/>
  <c r="G45" i="53"/>
  <c r="F46" i="53"/>
  <c r="E47" i="53"/>
  <c r="G47" i="53"/>
  <c r="E32" i="53"/>
  <c r="G32" i="53"/>
  <c r="I32" i="53"/>
  <c r="F33" i="53"/>
  <c r="H33" i="53"/>
  <c r="E34" i="53"/>
  <c r="G34" i="53"/>
  <c r="I34" i="53"/>
  <c r="F35" i="53"/>
  <c r="H35" i="53"/>
  <c r="E31" i="53"/>
  <c r="G31" i="53"/>
  <c r="F32" i="53"/>
  <c r="E33" i="53"/>
  <c r="G33" i="53"/>
  <c r="F34" i="53"/>
  <c r="E35" i="53"/>
  <c r="G35" i="53"/>
  <c r="F29" i="53"/>
  <c r="H29" i="53"/>
  <c r="E29" i="53"/>
  <c r="G29" i="53"/>
  <c r="C27" i="53"/>
  <c r="I27" i="53" s="1"/>
  <c r="C26" i="53"/>
  <c r="I26" i="53" s="1"/>
  <c r="C25" i="53"/>
  <c r="G25" i="53" s="1"/>
  <c r="C23" i="53"/>
  <c r="C86" i="53" s="1"/>
  <c r="K24" i="46" s="1"/>
  <c r="C22" i="53"/>
  <c r="I22" i="53" s="1"/>
  <c r="C21" i="53"/>
  <c r="I21" i="53" s="1"/>
  <c r="C20" i="53"/>
  <c r="I20" i="53" s="1"/>
  <c r="C19" i="53"/>
  <c r="I19" i="53" s="1"/>
  <c r="C14" i="53"/>
  <c r="C15" i="53"/>
  <c r="C16" i="53"/>
  <c r="C13" i="53"/>
  <c r="E13" i="53" s="1"/>
  <c r="P86" i="53" l="1"/>
  <c r="Q37" i="46" s="1"/>
  <c r="C30" i="60"/>
  <c r="AS30" i="60" s="1"/>
  <c r="AS16" i="60"/>
  <c r="C93" i="53"/>
  <c r="C104" i="53" s="1"/>
  <c r="C31" i="60"/>
  <c r="AS31" i="60" s="1"/>
  <c r="AS17" i="60"/>
  <c r="C29" i="60"/>
  <c r="L17" i="60"/>
  <c r="L31" i="60" s="1"/>
  <c r="S17" i="60"/>
  <c r="S31" i="60" s="1"/>
  <c r="K49" i="46"/>
  <c r="Q93" i="53"/>
  <c r="Q104" i="53" s="1"/>
  <c r="Q49" i="46"/>
  <c r="W93" i="53"/>
  <c r="W104" i="53" s="1"/>
  <c r="K37" i="46"/>
  <c r="J93" i="53"/>
  <c r="J104" i="53" s="1"/>
  <c r="P93" i="53"/>
  <c r="P104" i="53" s="1"/>
  <c r="N17" i="60"/>
  <c r="N31" i="60" s="1"/>
  <c r="C26" i="48"/>
  <c r="N16" i="60"/>
  <c r="N30" i="60" s="1"/>
  <c r="M17" i="60"/>
  <c r="M31" i="60" s="1"/>
  <c r="U16" i="60"/>
  <c r="U30" i="60" s="1"/>
  <c r="T17" i="60"/>
  <c r="T31" i="60" s="1"/>
  <c r="O16" i="60"/>
  <c r="O30" i="60" s="1"/>
  <c r="S16" i="60"/>
  <c r="S30" i="60" s="1"/>
  <c r="V16" i="60"/>
  <c r="V30" i="60" s="1"/>
  <c r="C28" i="48"/>
  <c r="M16" i="60"/>
  <c r="M30" i="60" s="1"/>
  <c r="U17" i="60"/>
  <c r="U31" i="60" s="1"/>
  <c r="V17" i="60"/>
  <c r="V31" i="60" s="1"/>
  <c r="R17" i="60"/>
  <c r="R31" i="60" s="1"/>
  <c r="O17" i="60"/>
  <c r="O31" i="60" s="1"/>
  <c r="W16" i="60"/>
  <c r="W30" i="60" s="1"/>
  <c r="W33" i="60" s="1"/>
  <c r="G16" i="60"/>
  <c r="L16" i="60"/>
  <c r="L30" i="60" s="1"/>
  <c r="K17" i="60"/>
  <c r="K31" i="60" s="1"/>
  <c r="C27" i="48"/>
  <c r="H16" i="60"/>
  <c r="K16" i="60"/>
  <c r="K30" i="60" s="1"/>
  <c r="F16" i="60"/>
  <c r="R16" i="60"/>
  <c r="R30" i="60" s="1"/>
  <c r="T16" i="60"/>
  <c r="T30" i="60" s="1"/>
  <c r="P16" i="60"/>
  <c r="P30" i="60" s="1"/>
  <c r="P33" i="60" s="1"/>
  <c r="W17" i="60"/>
  <c r="W31" i="60" s="1"/>
  <c r="W34" i="60" s="1"/>
  <c r="E17" i="60"/>
  <c r="H17" i="60"/>
  <c r="G17" i="60"/>
  <c r="F17" i="60"/>
  <c r="D17" i="60"/>
  <c r="E16" i="60"/>
  <c r="D16" i="60"/>
  <c r="I16" i="60"/>
  <c r="L86" i="53"/>
  <c r="M86" i="53"/>
  <c r="J33" i="60"/>
  <c r="Q34" i="60"/>
  <c r="J34" i="60"/>
  <c r="Q33" i="60"/>
  <c r="N86" i="53"/>
  <c r="S86" i="53"/>
  <c r="K86" i="53"/>
  <c r="P31" i="60"/>
  <c r="I31" i="60"/>
  <c r="U86" i="53"/>
  <c r="O86" i="53"/>
  <c r="R86" i="53"/>
  <c r="V86" i="53"/>
  <c r="T86" i="53"/>
  <c r="I23" i="53"/>
  <c r="I86" i="53" s="1"/>
  <c r="E16" i="53"/>
  <c r="G16" i="53"/>
  <c r="I16" i="53"/>
  <c r="F16" i="53"/>
  <c r="H16" i="53"/>
  <c r="E14" i="53"/>
  <c r="G14" i="53"/>
  <c r="I14" i="53"/>
  <c r="F14" i="53"/>
  <c r="H14" i="53"/>
  <c r="E15" i="53"/>
  <c r="G15" i="53"/>
  <c r="I15" i="53"/>
  <c r="F15" i="53"/>
  <c r="H15" i="53"/>
  <c r="C61" i="53"/>
  <c r="H22" i="53"/>
  <c r="H26" i="53"/>
  <c r="H20" i="53"/>
  <c r="F22" i="53"/>
  <c r="F26" i="53"/>
  <c r="F20" i="53"/>
  <c r="E25" i="53"/>
  <c r="I25" i="53"/>
  <c r="F25" i="53"/>
  <c r="H25" i="53"/>
  <c r="E26" i="53"/>
  <c r="G26" i="53"/>
  <c r="F27" i="53"/>
  <c r="H27" i="53"/>
  <c r="E27" i="53"/>
  <c r="G27" i="53"/>
  <c r="G19" i="53"/>
  <c r="F19" i="53"/>
  <c r="H19" i="53"/>
  <c r="E20" i="53"/>
  <c r="G20" i="53"/>
  <c r="F21" i="53"/>
  <c r="H21" i="53"/>
  <c r="E22" i="53"/>
  <c r="G22" i="53"/>
  <c r="D86" i="53"/>
  <c r="F23" i="53"/>
  <c r="F86" i="53" s="1"/>
  <c r="H23" i="53"/>
  <c r="H86" i="53" s="1"/>
  <c r="E19" i="53"/>
  <c r="E21" i="53"/>
  <c r="G21" i="53"/>
  <c r="E23" i="53"/>
  <c r="E86" i="53" s="1"/>
  <c r="G23" i="53"/>
  <c r="G86" i="53" s="1"/>
  <c r="AY31" i="60" l="1"/>
  <c r="C33" i="60"/>
  <c r="C34" i="60"/>
  <c r="D31" i="60"/>
  <c r="AT31" i="60" s="1"/>
  <c r="AT17" i="60"/>
  <c r="E31" i="60"/>
  <c r="AU31" i="60" s="1"/>
  <c r="AU17" i="60"/>
  <c r="H30" i="60"/>
  <c r="AX30" i="60" s="1"/>
  <c r="AX16" i="60"/>
  <c r="I30" i="60"/>
  <c r="AY30" i="60" s="1"/>
  <c r="AY33" i="60" s="1"/>
  <c r="AY16" i="60"/>
  <c r="F31" i="60"/>
  <c r="AV31" i="60" s="1"/>
  <c r="AV17" i="60"/>
  <c r="F30" i="60"/>
  <c r="AV30" i="60" s="1"/>
  <c r="AV16" i="60"/>
  <c r="E30" i="60"/>
  <c r="AU30" i="60" s="1"/>
  <c r="AU16" i="60"/>
  <c r="H31" i="60"/>
  <c r="AX31" i="60" s="1"/>
  <c r="AX17" i="60"/>
  <c r="G30" i="60"/>
  <c r="AW30" i="60" s="1"/>
  <c r="AW16" i="60"/>
  <c r="D30" i="60"/>
  <c r="AT30" i="60" s="1"/>
  <c r="AT16" i="60"/>
  <c r="G31" i="60"/>
  <c r="AW31" i="60" s="1"/>
  <c r="AW17" i="60"/>
  <c r="AY17" i="60"/>
  <c r="M24" i="46"/>
  <c r="E93" i="53"/>
  <c r="E104" i="53" s="1"/>
  <c r="Q24" i="46"/>
  <c r="I93" i="53"/>
  <c r="I104" i="53" s="1"/>
  <c r="N24" i="46"/>
  <c r="F93" i="53"/>
  <c r="F104" i="53" s="1"/>
  <c r="N49" i="46"/>
  <c r="T93" i="53"/>
  <c r="T104" i="53" s="1"/>
  <c r="L37" i="46"/>
  <c r="K93" i="53"/>
  <c r="K104" i="53" s="1"/>
  <c r="O37" i="46"/>
  <c r="N93" i="53"/>
  <c r="N104" i="53" s="1"/>
  <c r="L24" i="46"/>
  <c r="D93" i="53"/>
  <c r="D104" i="53" s="1"/>
  <c r="P49" i="46"/>
  <c r="V93" i="53"/>
  <c r="V104" i="53" s="1"/>
  <c r="N37" i="46"/>
  <c r="M93" i="53"/>
  <c r="M104" i="53" s="1"/>
  <c r="O24" i="46"/>
  <c r="G93" i="53"/>
  <c r="G104" i="53" s="1"/>
  <c r="L49" i="46"/>
  <c r="R93" i="53"/>
  <c r="R104" i="53" s="1"/>
  <c r="O49" i="46"/>
  <c r="U93" i="53"/>
  <c r="U104" i="53" s="1"/>
  <c r="M37" i="46"/>
  <c r="L93" i="53"/>
  <c r="L104" i="53" s="1"/>
  <c r="P24" i="46"/>
  <c r="H93" i="53"/>
  <c r="H104" i="53" s="1"/>
  <c r="P37" i="46"/>
  <c r="O93" i="53"/>
  <c r="O104" i="53" s="1"/>
  <c r="M49" i="46"/>
  <c r="S93" i="53"/>
  <c r="S104" i="53" s="1"/>
  <c r="O34" i="60"/>
  <c r="M33" i="60"/>
  <c r="K33" i="60"/>
  <c r="T34" i="60"/>
  <c r="V34" i="60"/>
  <c r="R33" i="60"/>
  <c r="L33" i="60"/>
  <c r="AS34" i="60"/>
  <c r="U33" i="60"/>
  <c r="M34" i="60"/>
  <c r="K34" i="60"/>
  <c r="I34" i="60"/>
  <c r="U34" i="60"/>
  <c r="S33" i="60"/>
  <c r="N33" i="60"/>
  <c r="AS33" i="60"/>
  <c r="N34" i="60"/>
  <c r="R34" i="60"/>
  <c r="S34" i="60"/>
  <c r="V33" i="60"/>
  <c r="P34" i="60"/>
  <c r="T33" i="60"/>
  <c r="O33" i="60"/>
  <c r="L34" i="60"/>
  <c r="F34" i="60" l="1"/>
  <c r="D34" i="60"/>
  <c r="E33" i="60"/>
  <c r="G33" i="60"/>
  <c r="H33" i="60"/>
  <c r="E34" i="60"/>
  <c r="H34" i="60"/>
  <c r="D33" i="60"/>
  <c r="G34" i="60"/>
  <c r="F33" i="60"/>
  <c r="I33" i="60"/>
  <c r="AW34" i="60"/>
  <c r="AV34" i="60"/>
  <c r="AY34" i="60"/>
  <c r="AU34" i="60"/>
  <c r="AX34" i="60"/>
  <c r="AU33" i="60"/>
  <c r="AT34" i="60"/>
  <c r="AW33" i="60"/>
  <c r="AX33" i="60"/>
  <c r="AV33" i="60"/>
  <c r="AT33" i="60"/>
  <c r="Y17" i="53"/>
  <c r="Z17" i="53"/>
  <c r="AA17" i="53"/>
  <c r="AB17" i="53"/>
  <c r="AC17" i="53"/>
  <c r="AD17" i="53"/>
  <c r="X17" i="53"/>
  <c r="E7" i="2"/>
  <c r="E35" i="58" l="1"/>
  <c r="V47" i="53"/>
  <c r="I35" i="58" s="1"/>
  <c r="S47" i="53"/>
  <c r="F35" i="58" s="1"/>
  <c r="U47" i="53"/>
  <c r="H35" i="58" s="1"/>
  <c r="T47" i="53"/>
  <c r="G35" i="58" s="1"/>
  <c r="W47" i="53"/>
  <c r="J35" i="58" s="1"/>
  <c r="F37" i="47" l="1"/>
  <c r="G37" i="47"/>
  <c r="H38" i="39" l="1"/>
  <c r="D38" i="39"/>
  <c r="M38" i="39"/>
  <c r="W38" i="39"/>
  <c r="E38" i="39"/>
  <c r="I38" i="39"/>
  <c r="N38" i="39"/>
  <c r="G38" i="39"/>
  <c r="L38" i="39"/>
  <c r="P38" i="39"/>
  <c r="F38" i="39"/>
  <c r="K38" i="39"/>
  <c r="O38" i="39"/>
  <c r="D38" i="48"/>
  <c r="E38" i="48"/>
  <c r="F38" i="48"/>
  <c r="G38" i="48"/>
  <c r="H38" i="48"/>
  <c r="G80" i="1"/>
  <c r="H80" i="1"/>
  <c r="I80" i="1"/>
  <c r="J80" i="1"/>
  <c r="K80" i="1"/>
  <c r="G81" i="1"/>
  <c r="H81" i="1"/>
  <c r="I81" i="1"/>
  <c r="J81" i="1"/>
  <c r="K81" i="1"/>
  <c r="F81" i="1"/>
  <c r="F80" i="1"/>
  <c r="D27" i="58"/>
  <c r="E12" i="58" s="1"/>
  <c r="E27" i="58" s="1"/>
  <c r="F12" i="58" s="1"/>
  <c r="F27" i="58" s="1"/>
  <c r="G12" i="58" s="1"/>
  <c r="G27" i="58" s="1"/>
  <c r="H12" i="58" s="1"/>
  <c r="H27" i="58" s="1"/>
  <c r="I12" i="58" s="1"/>
  <c r="I27" i="58" s="1"/>
  <c r="J12" i="58" s="1"/>
  <c r="J27" i="58" s="1"/>
  <c r="D26" i="58"/>
  <c r="E11" i="58" s="1"/>
  <c r="D10" i="58"/>
  <c r="R38" i="39" l="1"/>
  <c r="G33" i="58"/>
  <c r="H33" i="58"/>
  <c r="D33" i="58"/>
  <c r="I33" i="58"/>
  <c r="D25" i="58"/>
  <c r="F33" i="58"/>
  <c r="J33" i="58"/>
  <c r="E33" i="58"/>
  <c r="U38" i="39"/>
  <c r="S38" i="39"/>
  <c r="T38" i="39"/>
  <c r="V38" i="39"/>
  <c r="E26" i="58"/>
  <c r="F11" i="58" s="1"/>
  <c r="E10" i="58"/>
  <c r="E25" i="58" s="1"/>
  <c r="F26" i="58" l="1"/>
  <c r="G11" i="58" s="1"/>
  <c r="F10" i="58"/>
  <c r="F25" i="58" s="1"/>
  <c r="G26" i="58" l="1"/>
  <c r="H11" i="58" s="1"/>
  <c r="G10" i="58"/>
  <c r="G25" i="58" s="1"/>
  <c r="H26" i="58" l="1"/>
  <c r="I11" i="58" s="1"/>
  <c r="H10" i="58"/>
  <c r="H25" i="58" s="1"/>
  <c r="I26" i="58" l="1"/>
  <c r="J11" i="58" s="1"/>
  <c r="I10" i="58"/>
  <c r="I25" i="58" s="1"/>
  <c r="J26" i="58" l="1"/>
  <c r="J10" i="58"/>
  <c r="J25" i="58" s="1"/>
  <c r="D14" i="16" l="1"/>
  <c r="J54" i="7"/>
  <c r="P53" i="7"/>
  <c r="O53" i="7"/>
  <c r="N53" i="7"/>
  <c r="M53" i="7"/>
  <c r="L53" i="7"/>
  <c r="K53" i="7"/>
  <c r="J53" i="7"/>
  <c r="K48" i="7" l="1"/>
  <c r="J52" i="7"/>
  <c r="E14" i="16"/>
  <c r="D16" i="16"/>
  <c r="K54" i="7"/>
  <c r="L48" i="7" s="1"/>
  <c r="I13" i="39"/>
  <c r="E13" i="39"/>
  <c r="D13" i="39"/>
  <c r="F13" i="39"/>
  <c r="G13" i="39"/>
  <c r="H13" i="39"/>
  <c r="K52" i="7" l="1"/>
  <c r="F14" i="16"/>
  <c r="E16" i="16"/>
  <c r="L54" i="7"/>
  <c r="M48" i="7" s="1"/>
  <c r="L52" i="7" l="1"/>
  <c r="G14" i="16"/>
  <c r="F16" i="16"/>
  <c r="M54" i="7"/>
  <c r="N48" i="7" s="1"/>
  <c r="M52" i="7" l="1"/>
  <c r="H14" i="16"/>
  <c r="G16" i="16"/>
  <c r="N54" i="7"/>
  <c r="O48" i="7" s="1"/>
  <c r="N52" i="7" l="1"/>
  <c r="I14" i="16"/>
  <c r="I16" i="16" s="1"/>
  <c r="H16" i="16"/>
  <c r="O54" i="7"/>
  <c r="P48" i="7" s="1"/>
  <c r="O52" i="7" l="1"/>
  <c r="P54" i="7"/>
  <c r="P52" i="7" s="1"/>
  <c r="P65" i="7" l="1"/>
  <c r="O65" i="7"/>
  <c r="N65" i="7"/>
  <c r="M65" i="7"/>
  <c r="L65" i="7"/>
  <c r="K65" i="7"/>
  <c r="K60" i="7" l="1"/>
  <c r="K64" i="7" s="1"/>
  <c r="K66" i="7" l="1"/>
  <c r="L60" i="7" s="1"/>
  <c r="L66" i="7" l="1"/>
  <c r="M60" i="7" s="1"/>
  <c r="J15" i="49"/>
  <c r="Q15" i="49"/>
  <c r="C15" i="49"/>
  <c r="J12" i="49"/>
  <c r="Q12" i="49"/>
  <c r="W1" i="49"/>
  <c r="J1" i="20" s="1"/>
  <c r="J1" i="21" s="1"/>
  <c r="R1" i="22" s="1"/>
  <c r="M64" i="7" l="1"/>
  <c r="L64" i="7"/>
  <c r="M66" i="7"/>
  <c r="N60" i="7" s="1"/>
  <c r="H1" i="48"/>
  <c r="H27" i="48"/>
  <c r="E27" i="48"/>
  <c r="D27" i="48"/>
  <c r="H26" i="48"/>
  <c r="E26" i="48"/>
  <c r="D26" i="48"/>
  <c r="G28" i="48"/>
  <c r="F28" i="48"/>
  <c r="W13" i="53"/>
  <c r="V13" i="53"/>
  <c r="U13" i="53"/>
  <c r="T13" i="53"/>
  <c r="S13" i="53"/>
  <c r="P13" i="53"/>
  <c r="O13" i="53"/>
  <c r="N13" i="53"/>
  <c r="M13" i="53"/>
  <c r="L13" i="53"/>
  <c r="I13" i="53"/>
  <c r="H13" i="53"/>
  <c r="G13" i="53"/>
  <c r="F13" i="53"/>
  <c r="N66" i="7" l="1"/>
  <c r="O60" i="7" s="1"/>
  <c r="E28" i="48"/>
  <c r="G26" i="48"/>
  <c r="D28" i="48"/>
  <c r="H28" i="48"/>
  <c r="F26" i="48"/>
  <c r="F27" i="48"/>
  <c r="G27" i="48"/>
  <c r="T79" i="53"/>
  <c r="T72" i="53" s="1"/>
  <c r="G79" i="53"/>
  <c r="V79" i="53"/>
  <c r="S79" i="53"/>
  <c r="V66" i="53"/>
  <c r="E66" i="53"/>
  <c r="P66" i="53"/>
  <c r="O66" i="53"/>
  <c r="G66" i="53"/>
  <c r="K61" i="53"/>
  <c r="U49" i="53"/>
  <c r="T49" i="53"/>
  <c r="G49" i="53"/>
  <c r="V49" i="53"/>
  <c r="R49" i="53"/>
  <c r="N49" i="53"/>
  <c r="D49" i="53"/>
  <c r="R36" i="53"/>
  <c r="T36" i="53"/>
  <c r="O36" i="53"/>
  <c r="G36" i="53"/>
  <c r="G28" i="53" s="1"/>
  <c r="T24" i="53"/>
  <c r="V24" i="53"/>
  <c r="S24" i="53"/>
  <c r="I24" i="53"/>
  <c r="R18" i="53"/>
  <c r="M18" i="53"/>
  <c r="U18" i="53"/>
  <c r="L18" i="53"/>
  <c r="K18" i="53"/>
  <c r="U12" i="53"/>
  <c r="P12" i="53"/>
  <c r="V12" i="53"/>
  <c r="R12" i="53"/>
  <c r="N12" i="53"/>
  <c r="N87" i="53" s="1"/>
  <c r="F12" i="53"/>
  <c r="AL12" i="54"/>
  <c r="AL11" i="54" s="1"/>
  <c r="AL84" i="54" s="1"/>
  <c r="AK12" i="54"/>
  <c r="AK11" i="54" s="1"/>
  <c r="AK84" i="54" s="1"/>
  <c r="AJ12" i="54"/>
  <c r="AJ11" i="54" s="1"/>
  <c r="AJ84" i="54" s="1"/>
  <c r="AI12" i="54"/>
  <c r="AI11" i="54" s="1"/>
  <c r="AI84" i="54" s="1"/>
  <c r="AH12" i="54"/>
  <c r="AH11" i="54" s="1"/>
  <c r="AH84" i="54" s="1"/>
  <c r="AG12" i="54"/>
  <c r="AG11" i="54" s="1"/>
  <c r="AG84" i="54" s="1"/>
  <c r="AF12" i="54"/>
  <c r="AF11" i="54" s="1"/>
  <c r="AF84" i="54" s="1"/>
  <c r="AE12" i="54"/>
  <c r="AE11" i="54" s="1"/>
  <c r="AE84" i="54" s="1"/>
  <c r="AD12" i="54"/>
  <c r="AD11" i="54" s="1"/>
  <c r="AD84" i="54" s="1"/>
  <c r="AC12" i="54"/>
  <c r="AC11" i="54" s="1"/>
  <c r="AC84" i="54" s="1"/>
  <c r="AA12" i="54"/>
  <c r="Z12" i="54"/>
  <c r="Z11" i="54" s="1"/>
  <c r="Z84" i="54" s="1"/>
  <c r="Y12" i="54"/>
  <c r="Y11" i="54" s="1"/>
  <c r="Y84" i="54" s="1"/>
  <c r="X12" i="54"/>
  <c r="X11" i="54" s="1"/>
  <c r="X84" i="54" s="1"/>
  <c r="W12" i="54"/>
  <c r="W11" i="54" s="1"/>
  <c r="W84" i="54" s="1"/>
  <c r="V12" i="54"/>
  <c r="V11" i="54" s="1"/>
  <c r="V84" i="54" s="1"/>
  <c r="U12" i="54"/>
  <c r="U11" i="54" s="1"/>
  <c r="U84" i="54" s="1"/>
  <c r="T12" i="54"/>
  <c r="T11" i="54" s="1"/>
  <c r="T84" i="54" s="1"/>
  <c r="S12" i="54"/>
  <c r="S11" i="54" s="1"/>
  <c r="S84" i="54" s="1"/>
  <c r="R12" i="54"/>
  <c r="R11" i="54" s="1"/>
  <c r="R84" i="54" s="1"/>
  <c r="Q12" i="54"/>
  <c r="Q11" i="54" s="1"/>
  <c r="Q84" i="54" s="1"/>
  <c r="P12" i="54"/>
  <c r="O12" i="54"/>
  <c r="N12" i="54"/>
  <c r="N11" i="54" s="1"/>
  <c r="N84" i="54" s="1"/>
  <c r="M12" i="54"/>
  <c r="M11" i="54" s="1"/>
  <c r="M84" i="54" s="1"/>
  <c r="L12" i="54"/>
  <c r="L11" i="54" s="1"/>
  <c r="L84" i="54" s="1"/>
  <c r="K12" i="54"/>
  <c r="K11" i="54" s="1"/>
  <c r="K84" i="54" s="1"/>
  <c r="J12" i="54"/>
  <c r="J11" i="54" s="1"/>
  <c r="J84" i="54" s="1"/>
  <c r="I12" i="54"/>
  <c r="I11" i="54" s="1"/>
  <c r="I84" i="54" s="1"/>
  <c r="H12" i="54"/>
  <c r="H11" i="54" s="1"/>
  <c r="H84" i="54" s="1"/>
  <c r="G12" i="54"/>
  <c r="G11" i="54" s="1"/>
  <c r="G84" i="54" s="1"/>
  <c r="F12" i="54"/>
  <c r="F11" i="54" s="1"/>
  <c r="F84" i="54" s="1"/>
  <c r="D12" i="54"/>
  <c r="C12" i="54"/>
  <c r="M79" i="53"/>
  <c r="M72" i="53" s="1"/>
  <c r="AD79" i="53"/>
  <c r="AD72" i="53" s="1"/>
  <c r="AC79" i="53"/>
  <c r="AC72" i="53" s="1"/>
  <c r="AB79" i="53"/>
  <c r="AA79" i="53"/>
  <c r="AA72" i="53" s="1"/>
  <c r="Z79" i="53"/>
  <c r="Z72" i="53" s="1"/>
  <c r="Y79" i="53"/>
  <c r="Y72" i="53" s="1"/>
  <c r="X79" i="53"/>
  <c r="X72" i="53" s="1"/>
  <c r="Q79" i="53"/>
  <c r="Q72" i="53" s="1"/>
  <c r="J79" i="53"/>
  <c r="J72" i="53" s="1"/>
  <c r="C79" i="53"/>
  <c r="C72" i="53" s="1"/>
  <c r="AB72" i="53"/>
  <c r="U66" i="53"/>
  <c r="AD66" i="53"/>
  <c r="AC66" i="53"/>
  <c r="AB66" i="53"/>
  <c r="AA66" i="53"/>
  <c r="Z66" i="53"/>
  <c r="Y66" i="53"/>
  <c r="X66" i="53"/>
  <c r="Q66" i="53"/>
  <c r="J66" i="53"/>
  <c r="C66" i="53"/>
  <c r="V61" i="53"/>
  <c r="AD61" i="53"/>
  <c r="AC61" i="53"/>
  <c r="AB61" i="53"/>
  <c r="AA61" i="53"/>
  <c r="Z61" i="53"/>
  <c r="Y61" i="53"/>
  <c r="X61" i="53"/>
  <c r="Q61" i="53"/>
  <c r="J61" i="53"/>
  <c r="AD57" i="53"/>
  <c r="AC57" i="53"/>
  <c r="AB57" i="53"/>
  <c r="AA57" i="53"/>
  <c r="Z57" i="53"/>
  <c r="Y57" i="53"/>
  <c r="X57" i="53"/>
  <c r="Q57" i="53"/>
  <c r="AD53" i="53"/>
  <c r="AC53" i="53"/>
  <c r="AB53" i="53"/>
  <c r="AA53" i="53"/>
  <c r="Z53" i="53"/>
  <c r="Y53" i="53"/>
  <c r="X53" i="53"/>
  <c r="F49" i="53"/>
  <c r="AD49" i="53"/>
  <c r="AC49" i="53"/>
  <c r="AB49" i="53"/>
  <c r="AA49" i="53"/>
  <c r="Z49" i="53"/>
  <c r="Y49" i="53"/>
  <c r="X49" i="53"/>
  <c r="Q49" i="53"/>
  <c r="J49" i="53"/>
  <c r="C49" i="53"/>
  <c r="M36" i="53"/>
  <c r="AD36" i="53"/>
  <c r="AC36" i="53"/>
  <c r="AB36" i="53"/>
  <c r="AA36" i="53"/>
  <c r="Z36" i="53"/>
  <c r="Y36" i="53"/>
  <c r="X36" i="53"/>
  <c r="Q36" i="53"/>
  <c r="J36" i="53"/>
  <c r="E36" i="53"/>
  <c r="C36" i="53"/>
  <c r="C28" i="53" s="1"/>
  <c r="AD24" i="53"/>
  <c r="AC24" i="53"/>
  <c r="AB24" i="53"/>
  <c r="AA24" i="53"/>
  <c r="Z24" i="53"/>
  <c r="Y24" i="53"/>
  <c r="X24" i="53"/>
  <c r="Q24" i="53"/>
  <c r="J24" i="53"/>
  <c r="C24" i="53"/>
  <c r="AD18" i="53"/>
  <c r="AC18" i="53"/>
  <c r="AB18" i="53"/>
  <c r="AA18" i="53"/>
  <c r="Z18" i="53"/>
  <c r="Y18" i="53"/>
  <c r="X18" i="53"/>
  <c r="Q18" i="53"/>
  <c r="J18" i="53"/>
  <c r="C18" i="53"/>
  <c r="K12" i="53"/>
  <c r="AD12" i="53"/>
  <c r="AD87" i="53" s="1"/>
  <c r="AC12" i="53"/>
  <c r="AC87" i="53" s="1"/>
  <c r="AB12" i="53"/>
  <c r="AB87" i="53" s="1"/>
  <c r="AA12" i="53"/>
  <c r="AA87" i="53" s="1"/>
  <c r="Z12" i="53"/>
  <c r="Z87" i="53" s="1"/>
  <c r="Y12" i="53"/>
  <c r="Y87" i="53" s="1"/>
  <c r="X12" i="53"/>
  <c r="X87" i="53" s="1"/>
  <c r="Q12" i="53"/>
  <c r="J12" i="53"/>
  <c r="C12" i="53"/>
  <c r="P10" i="53"/>
  <c r="O10" i="53"/>
  <c r="N10" i="53"/>
  <c r="M10" i="53"/>
  <c r="L10" i="53"/>
  <c r="K10" i="53"/>
  <c r="J10" i="53"/>
  <c r="AE44" i="51"/>
  <c r="V44" i="51"/>
  <c r="Q44" i="51"/>
  <c r="K44" i="51"/>
  <c r="H44" i="51"/>
  <c r="G44" i="51"/>
  <c r="AE30" i="51"/>
  <c r="AE29" i="51" s="1"/>
  <c r="AC30" i="51"/>
  <c r="AC29" i="51" s="1"/>
  <c r="AA30" i="51"/>
  <c r="AA29" i="51" s="1"/>
  <c r="X30" i="51"/>
  <c r="X29" i="51" s="1"/>
  <c r="V30" i="51"/>
  <c r="V29" i="51" s="1"/>
  <c r="Q30" i="51"/>
  <c r="Q29" i="51" s="1"/>
  <c r="K30" i="51"/>
  <c r="K29" i="51" s="1"/>
  <c r="J30" i="51"/>
  <c r="J29" i="51" s="1"/>
  <c r="H30" i="51"/>
  <c r="H29" i="51" s="1"/>
  <c r="G30" i="51"/>
  <c r="G29" i="51" s="1"/>
  <c r="AE24" i="51"/>
  <c r="AC24" i="51"/>
  <c r="X24" i="51"/>
  <c r="V24" i="51"/>
  <c r="Q24" i="51"/>
  <c r="O24" i="51"/>
  <c r="M24" i="51"/>
  <c r="J24" i="51"/>
  <c r="H24" i="51"/>
  <c r="AF21" i="51"/>
  <c r="AB21" i="51"/>
  <c r="X21" i="51"/>
  <c r="V21" i="51"/>
  <c r="Q21" i="51"/>
  <c r="J21" i="51"/>
  <c r="AE14" i="51"/>
  <c r="AC14" i="51"/>
  <c r="AA14" i="51"/>
  <c r="Y14" i="51"/>
  <c r="X14" i="51"/>
  <c r="V14" i="51"/>
  <c r="Q14" i="51"/>
  <c r="O14" i="51"/>
  <c r="M14" i="51"/>
  <c r="K14" i="51"/>
  <c r="J14" i="51"/>
  <c r="H14" i="51"/>
  <c r="G14" i="51"/>
  <c r="AF11" i="51"/>
  <c r="AE11" i="51"/>
  <c r="AC11" i="51"/>
  <c r="AB11" i="51"/>
  <c r="X11" i="51"/>
  <c r="V11" i="51"/>
  <c r="Q11" i="51"/>
  <c r="P11" i="51"/>
  <c r="O11" i="51"/>
  <c r="N11" i="51"/>
  <c r="J11" i="51"/>
  <c r="H11" i="51"/>
  <c r="Z93" i="51"/>
  <c r="S93" i="51"/>
  <c r="L93" i="51"/>
  <c r="E93" i="51"/>
  <c r="Z79" i="51"/>
  <c r="Z78" i="51" s="1"/>
  <c r="S79" i="51"/>
  <c r="S78" i="51" s="1"/>
  <c r="L79" i="51"/>
  <c r="L78" i="51" s="1"/>
  <c r="E79" i="51"/>
  <c r="E78" i="51" s="1"/>
  <c r="Z73" i="51"/>
  <c r="S73" i="51"/>
  <c r="L73" i="51"/>
  <c r="Z70" i="51"/>
  <c r="S70" i="51"/>
  <c r="L70" i="51"/>
  <c r="E70" i="51"/>
  <c r="E66" i="51" s="1"/>
  <c r="Z63" i="51"/>
  <c r="S63" i="51"/>
  <c r="L63" i="51"/>
  <c r="E63" i="51"/>
  <c r="Z60" i="51"/>
  <c r="S60" i="51"/>
  <c r="L60" i="51"/>
  <c r="E60" i="51"/>
  <c r="Y44" i="51"/>
  <c r="U44" i="51"/>
  <c r="Z44" i="51"/>
  <c r="S44" i="51"/>
  <c r="L44" i="51"/>
  <c r="E44" i="51"/>
  <c r="U30" i="51"/>
  <c r="U29" i="51" s="1"/>
  <c r="R30" i="51"/>
  <c r="R29" i="51" s="1"/>
  <c r="O30" i="51"/>
  <c r="O29" i="51" s="1"/>
  <c r="N30" i="51"/>
  <c r="N29" i="51" s="1"/>
  <c r="I30" i="51"/>
  <c r="I29" i="51" s="1"/>
  <c r="AF30" i="51"/>
  <c r="AF29" i="51" s="1"/>
  <c r="AD30" i="51"/>
  <c r="AD29" i="51" s="1"/>
  <c r="AB30" i="51"/>
  <c r="AB29" i="51" s="1"/>
  <c r="Z30" i="51"/>
  <c r="Z29" i="51" s="1"/>
  <c r="Y30" i="51"/>
  <c r="Y29" i="51" s="1"/>
  <c r="W30" i="51"/>
  <c r="W29" i="51" s="1"/>
  <c r="S30" i="51"/>
  <c r="S29" i="51" s="1"/>
  <c r="P30" i="51"/>
  <c r="P29" i="51" s="1"/>
  <c r="L30" i="51"/>
  <c r="L29" i="51" s="1"/>
  <c r="E30" i="51"/>
  <c r="E29" i="51" s="1"/>
  <c r="W24" i="51"/>
  <c r="U24" i="51"/>
  <c r="G24" i="51"/>
  <c r="Z24" i="51"/>
  <c r="S24" i="51"/>
  <c r="L24" i="51"/>
  <c r="W21" i="51"/>
  <c r="R21" i="51"/>
  <c r="Z21" i="51"/>
  <c r="S21" i="51"/>
  <c r="L21" i="51"/>
  <c r="E21" i="51"/>
  <c r="U14" i="51"/>
  <c r="Z14" i="51"/>
  <c r="S14" i="51"/>
  <c r="L14" i="51"/>
  <c r="E14" i="51"/>
  <c r="Z11" i="51"/>
  <c r="S11" i="51"/>
  <c r="R11" i="51"/>
  <c r="L11" i="51"/>
  <c r="AF9" i="51"/>
  <c r="AE9" i="51"/>
  <c r="AD9" i="51"/>
  <c r="AC9" i="51"/>
  <c r="AB9" i="51"/>
  <c r="AA9" i="51"/>
  <c r="L9" i="51"/>
  <c r="S9" i="51" s="1"/>
  <c r="Z9" i="51" s="1"/>
  <c r="S257" i="50"/>
  <c r="L257" i="50"/>
  <c r="T256" i="50"/>
  <c r="M256" i="50"/>
  <c r="T254" i="50"/>
  <c r="T276" i="50" s="1"/>
  <c r="M254" i="50"/>
  <c r="M276" i="50" s="1"/>
  <c r="T237" i="50"/>
  <c r="M237" i="50"/>
  <c r="T236" i="50"/>
  <c r="M236" i="50"/>
  <c r="S235" i="50"/>
  <c r="L235" i="50"/>
  <c r="F256" i="50"/>
  <c r="F278" i="50" s="1"/>
  <c r="R213" i="50"/>
  <c r="P29" i="7" s="1"/>
  <c r="P31" i="7" s="1"/>
  <c r="Q213" i="50"/>
  <c r="O29" i="7" s="1"/>
  <c r="O31" i="7" s="1"/>
  <c r="P213" i="50"/>
  <c r="N29" i="7" s="1"/>
  <c r="N31" i="7" s="1"/>
  <c r="O213" i="50"/>
  <c r="M29" i="7" s="1"/>
  <c r="M31" i="7" s="1"/>
  <c r="N213" i="50"/>
  <c r="L29" i="7" s="1"/>
  <c r="L31" i="7" s="1"/>
  <c r="M213" i="50"/>
  <c r="K29" i="7" s="1"/>
  <c r="K31" i="7" s="1"/>
  <c r="L213" i="50"/>
  <c r="J29" i="7" s="1"/>
  <c r="E213" i="50"/>
  <c r="C29" i="7" s="1"/>
  <c r="C31" i="7" s="1"/>
  <c r="Y191" i="50"/>
  <c r="X191" i="50"/>
  <c r="W191" i="50"/>
  <c r="V191" i="50"/>
  <c r="U191" i="50"/>
  <c r="T191" i="50"/>
  <c r="S191" i="50"/>
  <c r="R191" i="50"/>
  <c r="Q191" i="50"/>
  <c r="P191" i="50"/>
  <c r="O191" i="50"/>
  <c r="N191" i="50"/>
  <c r="M191" i="50"/>
  <c r="L191" i="50"/>
  <c r="K191" i="50"/>
  <c r="J191" i="50"/>
  <c r="I191" i="50"/>
  <c r="H191" i="50"/>
  <c r="E191" i="50"/>
  <c r="S170" i="50"/>
  <c r="L170" i="50"/>
  <c r="E170" i="50"/>
  <c r="S150" i="50"/>
  <c r="L150" i="50"/>
  <c r="E150" i="50"/>
  <c r="S130" i="50"/>
  <c r="L130" i="50"/>
  <c r="S110" i="50"/>
  <c r="L110" i="50"/>
  <c r="E110" i="50"/>
  <c r="R7" i="50"/>
  <c r="Y7" i="50" s="1"/>
  <c r="Q7" i="50"/>
  <c r="X7" i="50" s="1"/>
  <c r="P7" i="50"/>
  <c r="W7" i="50" s="1"/>
  <c r="O7" i="50"/>
  <c r="V7" i="50" s="1"/>
  <c r="N7" i="50"/>
  <c r="U7" i="50" s="1"/>
  <c r="M7" i="50"/>
  <c r="T7" i="50" s="1"/>
  <c r="L7" i="50"/>
  <c r="S7" i="50" s="1"/>
  <c r="Y28" i="53" l="1"/>
  <c r="AC28" i="53"/>
  <c r="J28" i="53"/>
  <c r="J91" i="53" s="1"/>
  <c r="J102" i="53" s="1"/>
  <c r="Z28" i="53"/>
  <c r="AD28" i="53"/>
  <c r="T28" i="53"/>
  <c r="T91" i="53" s="1"/>
  <c r="T102" i="53" s="1"/>
  <c r="N64" i="7"/>
  <c r="Q28" i="53"/>
  <c r="Q91" i="53" s="1"/>
  <c r="Q102" i="53" s="1"/>
  <c r="X28" i="53"/>
  <c r="AB28" i="53"/>
  <c r="AA28" i="53"/>
  <c r="R28" i="53"/>
  <c r="R91" i="53" s="1"/>
  <c r="R102" i="53" s="1"/>
  <c r="J87" i="53"/>
  <c r="J94" i="53" s="1"/>
  <c r="J105" i="53" s="1"/>
  <c r="Q87" i="53"/>
  <c r="Q94" i="53" s="1"/>
  <c r="Q105" i="53" s="1"/>
  <c r="E279" i="50"/>
  <c r="Q27" i="7"/>
  <c r="Q55" i="53"/>
  <c r="C55" i="53"/>
  <c r="C27" i="7"/>
  <c r="J27" i="7"/>
  <c r="J55" i="53"/>
  <c r="O66" i="7"/>
  <c r="P60" i="7" s="1"/>
  <c r="U10" i="53"/>
  <c r="N90" i="53"/>
  <c r="R10" i="53"/>
  <c r="K90" i="53"/>
  <c r="V10" i="53"/>
  <c r="O90" i="53"/>
  <c r="T10" i="53"/>
  <c r="M90" i="53"/>
  <c r="Q10" i="53"/>
  <c r="J90" i="53"/>
  <c r="S10" i="53"/>
  <c r="L90" i="53"/>
  <c r="W10" i="53"/>
  <c r="P90" i="53"/>
  <c r="Q92" i="53"/>
  <c r="Q103" i="53" s="1"/>
  <c r="B27" i="47"/>
  <c r="B31" i="47"/>
  <c r="B32" i="47"/>
  <c r="Z32" i="60"/>
  <c r="Z35" i="60"/>
  <c r="Z36" i="60"/>
  <c r="Q32" i="60"/>
  <c r="Q36" i="60"/>
  <c r="Q35" i="60"/>
  <c r="AA32" i="60"/>
  <c r="AA35" i="60"/>
  <c r="AA36" i="60"/>
  <c r="AD32" i="60"/>
  <c r="AD36" i="60"/>
  <c r="AD35" i="60"/>
  <c r="X32" i="60"/>
  <c r="X36" i="60"/>
  <c r="X35" i="60"/>
  <c r="AB32" i="60"/>
  <c r="AB36" i="60"/>
  <c r="AB35" i="60"/>
  <c r="Y32" i="60"/>
  <c r="Y35" i="60"/>
  <c r="Y36" i="60"/>
  <c r="AC32" i="60"/>
  <c r="AC35" i="60"/>
  <c r="AC36" i="60"/>
  <c r="S66" i="51"/>
  <c r="S59" i="51" s="1"/>
  <c r="N94" i="53"/>
  <c r="N105" i="53" s="1"/>
  <c r="E59" i="51"/>
  <c r="L84" i="50"/>
  <c r="L282" i="50" s="1"/>
  <c r="F236" i="50"/>
  <c r="F258" i="50" s="1"/>
  <c r="F213" i="50"/>
  <c r="D29" i="7" s="1"/>
  <c r="D31" i="7" s="1"/>
  <c r="S84" i="50"/>
  <c r="S282" i="50" s="1"/>
  <c r="K213" i="50"/>
  <c r="I29" i="7" s="1"/>
  <c r="I31" i="7" s="1"/>
  <c r="E282" i="50"/>
  <c r="G213" i="50"/>
  <c r="E29" i="7" s="1"/>
  <c r="E31" i="7" s="1"/>
  <c r="C11" i="49"/>
  <c r="E59" i="50"/>
  <c r="C14" i="49" s="1"/>
  <c r="I213" i="50"/>
  <c r="G29" i="7" s="1"/>
  <c r="G31" i="7" s="1"/>
  <c r="Q11" i="53"/>
  <c r="Z11" i="53"/>
  <c r="S17" i="51"/>
  <c r="L17" i="51"/>
  <c r="Z17" i="51"/>
  <c r="E17" i="51"/>
  <c r="L66" i="51"/>
  <c r="L59" i="51" s="1"/>
  <c r="Z66" i="51"/>
  <c r="D11" i="54"/>
  <c r="P11" i="54"/>
  <c r="AA11" i="54"/>
  <c r="O12" i="53"/>
  <c r="T12" i="53"/>
  <c r="M12" i="53"/>
  <c r="H18" i="53"/>
  <c r="V18" i="53"/>
  <c r="V11" i="53" s="1"/>
  <c r="O18" i="53"/>
  <c r="T18" i="53"/>
  <c r="F24" i="53"/>
  <c r="K24" i="53"/>
  <c r="O24" i="53"/>
  <c r="M24" i="53"/>
  <c r="R24" i="53"/>
  <c r="R11" i="53" s="1"/>
  <c r="K87" i="53"/>
  <c r="D87" i="53"/>
  <c r="D36" i="53"/>
  <c r="D28" i="53" s="1"/>
  <c r="H36" i="53"/>
  <c r="V36" i="53"/>
  <c r="V28" i="53" s="1"/>
  <c r="F36" i="53"/>
  <c r="K36" i="53"/>
  <c r="K49" i="53"/>
  <c r="O49" i="53"/>
  <c r="H49" i="53"/>
  <c r="M49" i="53"/>
  <c r="M61" i="53"/>
  <c r="R61" i="53"/>
  <c r="O61" i="53"/>
  <c r="T61" i="53"/>
  <c r="D66" i="53"/>
  <c r="H66" i="53"/>
  <c r="G31" i="47" s="1"/>
  <c r="M66" i="53"/>
  <c r="R66" i="53"/>
  <c r="F66" i="53"/>
  <c r="K66" i="53"/>
  <c r="T66" i="53"/>
  <c r="F79" i="53"/>
  <c r="F72" i="53" s="1"/>
  <c r="E32" i="47" s="1"/>
  <c r="K79" i="53"/>
  <c r="K72" i="53" s="1"/>
  <c r="O79" i="53"/>
  <c r="O72" i="53" s="1"/>
  <c r="D79" i="53"/>
  <c r="D72" i="53" s="1"/>
  <c r="H79" i="53"/>
  <c r="H72" i="53" s="1"/>
  <c r="R79" i="53"/>
  <c r="R72" i="53" s="1"/>
  <c r="AA11" i="53"/>
  <c r="AA84" i="53" s="1"/>
  <c r="E33" i="47" s="1"/>
  <c r="E30" i="48" s="1"/>
  <c r="X11" i="53"/>
  <c r="AB11" i="53"/>
  <c r="Y11" i="53"/>
  <c r="AC11" i="53"/>
  <c r="G12" i="53"/>
  <c r="L12" i="53"/>
  <c r="E12" i="53"/>
  <c r="I12" i="53"/>
  <c r="S12" i="53"/>
  <c r="W12" i="53"/>
  <c r="E18" i="53"/>
  <c r="I18" i="53"/>
  <c r="N18" i="53"/>
  <c r="S18" i="53"/>
  <c r="W18" i="53"/>
  <c r="G18" i="53"/>
  <c r="P18" i="53"/>
  <c r="G24" i="53"/>
  <c r="L24" i="53"/>
  <c r="P24" i="53"/>
  <c r="U24" i="53"/>
  <c r="U11" i="53" s="1"/>
  <c r="E24" i="53"/>
  <c r="S36" i="53"/>
  <c r="S61" i="53"/>
  <c r="N66" i="53"/>
  <c r="F31" i="47" s="1"/>
  <c r="N24" i="53"/>
  <c r="W24" i="53"/>
  <c r="G91" i="53"/>
  <c r="G102" i="53" s="1"/>
  <c r="P87" i="53"/>
  <c r="I36" i="53"/>
  <c r="N36" i="53"/>
  <c r="W36" i="53"/>
  <c r="L36" i="53"/>
  <c r="P36" i="53"/>
  <c r="U36" i="53"/>
  <c r="U28" i="53" s="1"/>
  <c r="L49" i="53"/>
  <c r="P49" i="53"/>
  <c r="E49" i="53"/>
  <c r="E28" i="53" s="1"/>
  <c r="I49" i="53"/>
  <c r="S49" i="53"/>
  <c r="W49" i="53"/>
  <c r="N61" i="53"/>
  <c r="W61" i="53"/>
  <c r="L61" i="53"/>
  <c r="P61" i="53"/>
  <c r="U61" i="53"/>
  <c r="I66" i="53"/>
  <c r="S66" i="53"/>
  <c r="W66" i="53"/>
  <c r="L66" i="53"/>
  <c r="S72" i="53"/>
  <c r="G72" i="53"/>
  <c r="L79" i="53"/>
  <c r="L72" i="53" s="1"/>
  <c r="P79" i="53"/>
  <c r="P72" i="53" s="1"/>
  <c r="U79" i="53"/>
  <c r="U72" i="53" s="1"/>
  <c r="E79" i="53"/>
  <c r="E72" i="53" s="1"/>
  <c r="I79" i="53"/>
  <c r="I72" i="53" s="1"/>
  <c r="N79" i="53"/>
  <c r="N72" i="53" s="1"/>
  <c r="W79" i="53"/>
  <c r="W72" i="53" s="1"/>
  <c r="AD11" i="53"/>
  <c r="C91" i="53"/>
  <c r="C102" i="53" s="1"/>
  <c r="D24" i="53"/>
  <c r="H24" i="53"/>
  <c r="H12" i="53"/>
  <c r="F18" i="53"/>
  <c r="V72" i="53"/>
  <c r="W17" i="51"/>
  <c r="AA24" i="51"/>
  <c r="I24" i="51"/>
  <c r="O21" i="51"/>
  <c r="O17" i="51" s="1"/>
  <c r="AC21" i="51"/>
  <c r="AC17" i="51" s="1"/>
  <c r="K11" i="51"/>
  <c r="AD11" i="51"/>
  <c r="P14" i="51"/>
  <c r="AD14" i="51"/>
  <c r="V17" i="51"/>
  <c r="M44" i="51"/>
  <c r="P21" i="51"/>
  <c r="AD21" i="51"/>
  <c r="AA44" i="51"/>
  <c r="AF24" i="51"/>
  <c r="AF17" i="51" s="1"/>
  <c r="W44" i="51"/>
  <c r="I14" i="51"/>
  <c r="Q17" i="51"/>
  <c r="H21" i="51"/>
  <c r="H17" i="51" s="1"/>
  <c r="AE21" i="51"/>
  <c r="AE17" i="51" s="1"/>
  <c r="O44" i="51"/>
  <c r="AC44" i="51"/>
  <c r="AB24" i="51"/>
  <c r="AB17" i="51" s="1"/>
  <c r="I44" i="51"/>
  <c r="I11" i="51"/>
  <c r="W11" i="51"/>
  <c r="W14" i="51"/>
  <c r="AF14" i="51"/>
  <c r="S34" i="50"/>
  <c r="K24" i="51"/>
  <c r="P24" i="51"/>
  <c r="Y24" i="51"/>
  <c r="AD24" i="51"/>
  <c r="P44" i="51"/>
  <c r="AD44" i="51"/>
  <c r="L34" i="50"/>
  <c r="S59" i="50"/>
  <c r="Q14" i="49" s="1"/>
  <c r="R14" i="49" s="1"/>
  <c r="H213" i="50"/>
  <c r="F29" i="7" s="1"/>
  <c r="F31" i="7" s="1"/>
  <c r="J213" i="50"/>
  <c r="H29" i="7" s="1"/>
  <c r="H31" i="7" s="1"/>
  <c r="F237" i="50"/>
  <c r="F259" i="50" s="1"/>
  <c r="L59" i="50"/>
  <c r="J14" i="49" s="1"/>
  <c r="K14" i="49" s="1"/>
  <c r="N254" i="50"/>
  <c r="N276" i="50" s="1"/>
  <c r="J17" i="51"/>
  <c r="T278" i="50"/>
  <c r="U256" i="50"/>
  <c r="U254" i="50"/>
  <c r="U276" i="50" s="1"/>
  <c r="M30" i="51"/>
  <c r="M29" i="51" s="1"/>
  <c r="G11" i="51"/>
  <c r="F14" i="51"/>
  <c r="T14" i="51"/>
  <c r="AB14" i="51"/>
  <c r="AA21" i="51"/>
  <c r="M259" i="50"/>
  <c r="N237" i="50"/>
  <c r="M11" i="51"/>
  <c r="AA60" i="51"/>
  <c r="AA11" i="51"/>
  <c r="I21" i="51"/>
  <c r="N21" i="51"/>
  <c r="F24" i="51"/>
  <c r="T24" i="51"/>
  <c r="T258" i="50"/>
  <c r="U236" i="50"/>
  <c r="M278" i="50"/>
  <c r="N256" i="50"/>
  <c r="AA63" i="51"/>
  <c r="X17" i="51"/>
  <c r="F21" i="51"/>
  <c r="T21" i="51"/>
  <c r="AA73" i="51"/>
  <c r="M258" i="50"/>
  <c r="N236" i="50"/>
  <c r="M235" i="50"/>
  <c r="T259" i="50"/>
  <c r="U237" i="50"/>
  <c r="G256" i="50"/>
  <c r="G278" i="50" s="1"/>
  <c r="F11" i="51"/>
  <c r="T11" i="51"/>
  <c r="U11" i="51"/>
  <c r="Y11" i="51"/>
  <c r="N14" i="51"/>
  <c r="R14" i="51"/>
  <c r="F30" i="51"/>
  <c r="F29" i="51" s="1"/>
  <c r="T30" i="51"/>
  <c r="T29" i="51" s="1"/>
  <c r="G21" i="51"/>
  <c r="G17" i="51" s="1"/>
  <c r="K21" i="51"/>
  <c r="U21" i="51"/>
  <c r="U17" i="51" s="1"/>
  <c r="Y21" i="51"/>
  <c r="N24" i="51"/>
  <c r="R24" i="51"/>
  <c r="R17" i="51" s="1"/>
  <c r="F44" i="51"/>
  <c r="J44" i="51"/>
  <c r="T44" i="51"/>
  <c r="X44" i="51"/>
  <c r="N44" i="51"/>
  <c r="R44" i="51"/>
  <c r="AB44" i="51"/>
  <c r="AF44" i="51"/>
  <c r="M21" i="51"/>
  <c r="T70" i="51"/>
  <c r="L28" i="53" l="1"/>
  <c r="L91" i="53" s="1"/>
  <c r="L102" i="53" s="1"/>
  <c r="H28" i="53"/>
  <c r="O64" i="7"/>
  <c r="O28" i="53"/>
  <c r="O91" i="53" s="1"/>
  <c r="O102" i="53" s="1"/>
  <c r="N28" i="53"/>
  <c r="N91" i="53" s="1"/>
  <c r="N102" i="53" s="1"/>
  <c r="K28" i="53"/>
  <c r="K91" i="53" s="1"/>
  <c r="K102" i="53" s="1"/>
  <c r="M28" i="53"/>
  <c r="M91" i="53" s="1"/>
  <c r="M102" i="53" s="1"/>
  <c r="W28" i="53"/>
  <c r="W91" i="53" s="1"/>
  <c r="W102" i="53" s="1"/>
  <c r="E91" i="53"/>
  <c r="E102" i="53" s="1"/>
  <c r="P28" i="53"/>
  <c r="P91" i="53" s="1"/>
  <c r="P102" i="53" s="1"/>
  <c r="I28" i="53"/>
  <c r="I91" i="53" s="1"/>
  <c r="I102" i="53" s="1"/>
  <c r="S28" i="53"/>
  <c r="S91" i="53" s="1"/>
  <c r="S102" i="53" s="1"/>
  <c r="F28" i="53"/>
  <c r="F91" i="53" s="1"/>
  <c r="F102" i="53" s="1"/>
  <c r="Z10" i="51"/>
  <c r="Z59" i="51"/>
  <c r="T87" i="53"/>
  <c r="T94" i="53" s="1"/>
  <c r="T105" i="53" s="1"/>
  <c r="P94" i="53"/>
  <c r="P105" i="53" s="1"/>
  <c r="W87" i="53"/>
  <c r="W94" i="53" s="1"/>
  <c r="W105" i="53" s="1"/>
  <c r="L87" i="53"/>
  <c r="L94" i="53" s="1"/>
  <c r="L105" i="53" s="1"/>
  <c r="R87" i="53"/>
  <c r="R94" i="53" s="1"/>
  <c r="R105" i="53" s="1"/>
  <c r="K94" i="53"/>
  <c r="K105" i="53" s="1"/>
  <c r="V87" i="53"/>
  <c r="V94" i="53" s="1"/>
  <c r="V105" i="53" s="1"/>
  <c r="U87" i="53"/>
  <c r="U94" i="53" s="1"/>
  <c r="U105" i="53" s="1"/>
  <c r="S87" i="53"/>
  <c r="S94" i="53" s="1"/>
  <c r="S105" i="53" s="1"/>
  <c r="M87" i="53"/>
  <c r="M94" i="53" s="1"/>
  <c r="M105" i="53" s="1"/>
  <c r="O87" i="53"/>
  <c r="O94" i="53" s="1"/>
  <c r="O105" i="53" s="1"/>
  <c r="J54" i="53"/>
  <c r="J53" i="53" s="1"/>
  <c r="D15" i="20" s="1"/>
  <c r="J25" i="7"/>
  <c r="Q25" i="7"/>
  <c r="Q54" i="53"/>
  <c r="C54" i="53"/>
  <c r="C25" i="7"/>
  <c r="P66" i="7"/>
  <c r="P64" i="7" s="1"/>
  <c r="Y84" i="53"/>
  <c r="C33" i="47" s="1"/>
  <c r="C30" i="48" s="1"/>
  <c r="AC84" i="53"/>
  <c r="G33" i="47" s="1"/>
  <c r="G30" i="48" s="1"/>
  <c r="AD10" i="53"/>
  <c r="W90" i="53"/>
  <c r="X10" i="53"/>
  <c r="Q90" i="53"/>
  <c r="AC10" i="53"/>
  <c r="V90" i="53"/>
  <c r="AB10" i="53"/>
  <c r="U90" i="53"/>
  <c r="Z10" i="53"/>
  <c r="S90" i="53"/>
  <c r="AA10" i="53"/>
  <c r="T90" i="53"/>
  <c r="Y10" i="53"/>
  <c r="R90" i="53"/>
  <c r="B25" i="47"/>
  <c r="C31" i="47"/>
  <c r="C32" i="47"/>
  <c r="G236" i="50"/>
  <c r="G258" i="50" s="1"/>
  <c r="H91" i="53"/>
  <c r="H102" i="53" s="1"/>
  <c r="T11" i="53"/>
  <c r="Y17" i="51"/>
  <c r="Y10" i="51" s="1"/>
  <c r="AE10" i="51"/>
  <c r="Q10" i="51"/>
  <c r="X10" i="51"/>
  <c r="H10" i="51"/>
  <c r="AC10" i="51"/>
  <c r="AB10" i="51"/>
  <c r="AF10" i="51"/>
  <c r="D14" i="49"/>
  <c r="C13" i="49"/>
  <c r="O10" i="51"/>
  <c r="C10" i="49"/>
  <c r="D11" i="49"/>
  <c r="J10" i="51"/>
  <c r="W10" i="51"/>
  <c r="L10" i="51"/>
  <c r="R10" i="51"/>
  <c r="V10" i="51"/>
  <c r="S10" i="51"/>
  <c r="E10" i="51"/>
  <c r="U10" i="51"/>
  <c r="G10" i="51"/>
  <c r="Q11" i="49"/>
  <c r="R11" i="49" s="1"/>
  <c r="J11" i="49"/>
  <c r="K11" i="49" s="1"/>
  <c r="G237" i="50"/>
  <c r="G259" i="50" s="1"/>
  <c r="F257" i="50"/>
  <c r="L280" i="50"/>
  <c r="F235" i="50"/>
  <c r="E280" i="50"/>
  <c r="Z84" i="53"/>
  <c r="D33" i="47" s="1"/>
  <c r="D30" i="48" s="1"/>
  <c r="D32" i="47"/>
  <c r="F32" i="47"/>
  <c r="F29" i="48" s="1"/>
  <c r="H32" i="47"/>
  <c r="G32" i="47"/>
  <c r="G29" i="48" s="1"/>
  <c r="L281" i="50"/>
  <c r="S281" i="50"/>
  <c r="E281" i="50"/>
  <c r="E284" i="50" s="1"/>
  <c r="X84" i="53"/>
  <c r="B33" i="47" s="1"/>
  <c r="S279" i="50"/>
  <c r="L279" i="50"/>
  <c r="AB84" i="53"/>
  <c r="F33" i="47" s="1"/>
  <c r="F30" i="48" s="1"/>
  <c r="H31" i="47"/>
  <c r="D91" i="53"/>
  <c r="D102" i="53" s="1"/>
  <c r="D31" i="47"/>
  <c r="E31" i="47"/>
  <c r="E29" i="48" s="1"/>
  <c r="V91" i="53"/>
  <c r="V102" i="53" s="1"/>
  <c r="S11" i="53"/>
  <c r="AD84" i="53"/>
  <c r="H33" i="47" s="1"/>
  <c r="H30" i="48" s="1"/>
  <c r="W11" i="53"/>
  <c r="W70" i="51"/>
  <c r="K17" i="51"/>
  <c r="K10" i="51" s="1"/>
  <c r="AA70" i="51"/>
  <c r="AA66" i="51" s="1"/>
  <c r="AA17" i="51"/>
  <c r="AA10" i="51" s="1"/>
  <c r="AF60" i="51"/>
  <c r="AC60" i="51"/>
  <c r="AE70" i="51"/>
  <c r="O70" i="51"/>
  <c r="I17" i="51"/>
  <c r="I10" i="51" s="1"/>
  <c r="P17" i="51"/>
  <c r="P10" i="51" s="1"/>
  <c r="V70" i="51"/>
  <c r="M70" i="51"/>
  <c r="U70" i="51"/>
  <c r="K70" i="51"/>
  <c r="AD17" i="51"/>
  <c r="AD10" i="51" s="1"/>
  <c r="F70" i="51"/>
  <c r="Y70" i="51"/>
  <c r="I70" i="51"/>
  <c r="Q70" i="51"/>
  <c r="K79" i="51"/>
  <c r="K78" i="51" s="1"/>
  <c r="H70" i="51"/>
  <c r="AD79" i="51"/>
  <c r="AD78" i="51" s="1"/>
  <c r="AF70" i="51"/>
  <c r="AC93" i="51"/>
  <c r="AB70" i="51"/>
  <c r="R70" i="51"/>
  <c r="X93" i="51"/>
  <c r="J93" i="51"/>
  <c r="I93" i="51"/>
  <c r="AA93" i="51"/>
  <c r="AF93" i="51"/>
  <c r="Q93" i="51"/>
  <c r="V93" i="51"/>
  <c r="AD60" i="51"/>
  <c r="M60" i="51"/>
  <c r="P79" i="51"/>
  <c r="P78" i="51" s="1"/>
  <c r="G93" i="51"/>
  <c r="W93" i="51"/>
  <c r="O93" i="51"/>
  <c r="N93" i="51"/>
  <c r="V73" i="51"/>
  <c r="G70" i="51"/>
  <c r="P70" i="51"/>
  <c r="Y93" i="51"/>
  <c r="F93" i="51"/>
  <c r="AD93" i="51"/>
  <c r="P93" i="51"/>
  <c r="R93" i="51"/>
  <c r="T79" i="51"/>
  <c r="T78" i="51" s="1"/>
  <c r="F79" i="51"/>
  <c r="F78" i="51" s="1"/>
  <c r="U259" i="50"/>
  <c r="V237" i="50"/>
  <c r="M257" i="50"/>
  <c r="AE73" i="51"/>
  <c r="AC73" i="51"/>
  <c r="P73" i="51"/>
  <c r="F17" i="51"/>
  <c r="AC63" i="51"/>
  <c r="R63" i="51"/>
  <c r="Q63" i="51"/>
  <c r="T60" i="51"/>
  <c r="K60" i="51"/>
  <c r="V254" i="50"/>
  <c r="V276" i="50" s="1"/>
  <c r="M17" i="51"/>
  <c r="T93" i="51"/>
  <c r="H93" i="51"/>
  <c r="N258" i="50"/>
  <c r="O236" i="50"/>
  <c r="N235" i="50"/>
  <c r="F73" i="51"/>
  <c r="G73" i="51"/>
  <c r="AD70" i="51"/>
  <c r="N70" i="51"/>
  <c r="AB63" i="51"/>
  <c r="X70" i="51"/>
  <c r="U93" i="51"/>
  <c r="K93" i="51"/>
  <c r="AE93" i="51"/>
  <c r="AB93" i="51"/>
  <c r="M93" i="51"/>
  <c r="W79" i="51"/>
  <c r="W78" i="51" s="1"/>
  <c r="X79" i="51"/>
  <c r="X78" i="51" s="1"/>
  <c r="J79" i="51"/>
  <c r="J78" i="51" s="1"/>
  <c r="Y63" i="51"/>
  <c r="V63" i="51"/>
  <c r="F63" i="51"/>
  <c r="AF73" i="51"/>
  <c r="Q73" i="51"/>
  <c r="AD63" i="51"/>
  <c r="N63" i="51"/>
  <c r="M63" i="51"/>
  <c r="V60" i="51"/>
  <c r="I60" i="51"/>
  <c r="J60" i="51"/>
  <c r="N79" i="51"/>
  <c r="N78" i="51" s="1"/>
  <c r="Y73" i="51"/>
  <c r="H73" i="51"/>
  <c r="AB60" i="51"/>
  <c r="AE60" i="51"/>
  <c r="R60" i="51"/>
  <c r="O60" i="51"/>
  <c r="N259" i="50"/>
  <c r="O237" i="50"/>
  <c r="I63" i="51"/>
  <c r="X63" i="51"/>
  <c r="K63" i="51"/>
  <c r="AF79" i="51"/>
  <c r="AF78" i="51" s="1"/>
  <c r="AC79" i="51"/>
  <c r="AC78" i="51" s="1"/>
  <c r="R79" i="51"/>
  <c r="R78" i="51" s="1"/>
  <c r="O254" i="50"/>
  <c r="O276" i="50" s="1"/>
  <c r="Y79" i="51"/>
  <c r="Y78" i="51" s="1"/>
  <c r="G79" i="51"/>
  <c r="G78" i="51" s="1"/>
  <c r="O73" i="51"/>
  <c r="AB73" i="51"/>
  <c r="AD73" i="51"/>
  <c r="N73" i="51"/>
  <c r="P63" i="51"/>
  <c r="Y60" i="51"/>
  <c r="X60" i="51"/>
  <c r="H60" i="51"/>
  <c r="O256" i="50"/>
  <c r="N278" i="50"/>
  <c r="V236" i="50"/>
  <c r="U258" i="50"/>
  <c r="AC70" i="51"/>
  <c r="T73" i="51"/>
  <c r="T66" i="51" s="1"/>
  <c r="U73" i="51"/>
  <c r="J73" i="51"/>
  <c r="K73" i="51"/>
  <c r="N17" i="51"/>
  <c r="N10" i="51" s="1"/>
  <c r="N60" i="51"/>
  <c r="Q60" i="51"/>
  <c r="U63" i="51"/>
  <c r="G63" i="51"/>
  <c r="J63" i="51"/>
  <c r="AE79" i="51"/>
  <c r="AE78" i="51" s="1"/>
  <c r="Q79" i="51"/>
  <c r="Q78" i="51" s="1"/>
  <c r="O79" i="51"/>
  <c r="O78" i="51" s="1"/>
  <c r="W60" i="51"/>
  <c r="U79" i="51"/>
  <c r="U78" i="51" s="1"/>
  <c r="V79" i="51"/>
  <c r="V78" i="51" s="1"/>
  <c r="H79" i="51"/>
  <c r="H78" i="51" s="1"/>
  <c r="I79" i="51"/>
  <c r="I78" i="51" s="1"/>
  <c r="H256" i="50"/>
  <c r="H278" i="50" s="1"/>
  <c r="M73" i="51"/>
  <c r="R73" i="51"/>
  <c r="T17" i="51"/>
  <c r="AF63" i="51"/>
  <c r="AE63" i="51"/>
  <c r="O63" i="51"/>
  <c r="U60" i="51"/>
  <c r="G60" i="51"/>
  <c r="F60" i="51"/>
  <c r="X73" i="51"/>
  <c r="W73" i="51"/>
  <c r="I73" i="51"/>
  <c r="J70" i="51"/>
  <c r="P60" i="51"/>
  <c r="W63" i="51"/>
  <c r="T63" i="51"/>
  <c r="H63" i="51"/>
  <c r="AA79" i="51"/>
  <c r="AA78" i="51" s="1"/>
  <c r="AB79" i="51"/>
  <c r="AB78" i="51" s="1"/>
  <c r="M79" i="51"/>
  <c r="M78" i="51" s="1"/>
  <c r="V256" i="50"/>
  <c r="U278" i="50"/>
  <c r="L1" i="2"/>
  <c r="G10" i="5"/>
  <c r="H57" i="5"/>
  <c r="F118" i="1" s="1"/>
  <c r="A3" i="35"/>
  <c r="A3" i="5" s="1"/>
  <c r="A3" i="7" s="1"/>
  <c r="H53" i="5"/>
  <c r="E115" i="1" s="1"/>
  <c r="E25" i="47" l="1"/>
  <c r="E23" i="48" s="1"/>
  <c r="L284" i="50"/>
  <c r="S284" i="50"/>
  <c r="A3" i="1"/>
  <c r="A5" i="58"/>
  <c r="A3" i="2"/>
  <c r="A5" i="65"/>
  <c r="E42" i="2"/>
  <c r="E74" i="65"/>
  <c r="F46" i="2"/>
  <c r="E78" i="65"/>
  <c r="A4" i="62"/>
  <c r="A3" i="46"/>
  <c r="F25" i="47"/>
  <c r="F23" i="48" s="1"/>
  <c r="U91" i="53"/>
  <c r="U102" i="53" s="1"/>
  <c r="C25" i="47"/>
  <c r="C23" i="48" s="1"/>
  <c r="C29" i="48"/>
  <c r="H236" i="50"/>
  <c r="I236" i="50" s="1"/>
  <c r="G25" i="47"/>
  <c r="G23" i="48" s="1"/>
  <c r="D25" i="47"/>
  <c r="D23" i="48" s="1"/>
  <c r="D38" i="58"/>
  <c r="B52" i="46" s="1"/>
  <c r="E42" i="58"/>
  <c r="B56" i="46" s="1"/>
  <c r="H237" i="50"/>
  <c r="G235" i="50"/>
  <c r="T10" i="51"/>
  <c r="M10" i="51"/>
  <c r="F10" i="51"/>
  <c r="H29" i="48"/>
  <c r="A4" i="22"/>
  <c r="A4" i="20"/>
  <c r="A4" i="17"/>
  <c r="A3" i="47"/>
  <c r="A3" i="54"/>
  <c r="A3" i="51"/>
  <c r="A4" i="21"/>
  <c r="A4" i="49"/>
  <c r="A3" i="48"/>
  <c r="A3" i="16"/>
  <c r="A3" i="53"/>
  <c r="A3" i="50"/>
  <c r="A4" i="41"/>
  <c r="W66" i="51"/>
  <c r="A3" i="39"/>
  <c r="A4" i="60"/>
  <c r="U66" i="51"/>
  <c r="F66" i="51"/>
  <c r="D29" i="48"/>
  <c r="H25" i="47"/>
  <c r="H23" i="48" s="1"/>
  <c r="AE66" i="51"/>
  <c r="K66" i="51"/>
  <c r="AC66" i="51"/>
  <c r="Y66" i="51"/>
  <c r="I66" i="51"/>
  <c r="O66" i="51"/>
  <c r="AA59" i="51"/>
  <c r="Q66" i="51"/>
  <c r="H66" i="51"/>
  <c r="M66" i="51"/>
  <c r="V66" i="51"/>
  <c r="G257" i="50"/>
  <c r="V258" i="50"/>
  <c r="W236" i="50"/>
  <c r="O259" i="50"/>
  <c r="P237" i="50"/>
  <c r="AD66" i="51"/>
  <c r="O258" i="50"/>
  <c r="P236" i="50"/>
  <c r="O235" i="50"/>
  <c r="T59" i="51"/>
  <c r="G66" i="51"/>
  <c r="AB66" i="51"/>
  <c r="O278" i="50"/>
  <c r="P256" i="50"/>
  <c r="P254" i="50"/>
  <c r="P276" i="50" s="1"/>
  <c r="X66" i="51"/>
  <c r="N257" i="50"/>
  <c r="W254" i="50"/>
  <c r="W276" i="50" s="1"/>
  <c r="P66" i="51"/>
  <c r="AF66" i="51"/>
  <c r="V278" i="50"/>
  <c r="W256" i="50"/>
  <c r="R66" i="51"/>
  <c r="J66" i="51"/>
  <c r="I256" i="50"/>
  <c r="I278" i="50" s="1"/>
  <c r="N66" i="51"/>
  <c r="V259" i="50"/>
  <c r="W237" i="50"/>
  <c r="D26" i="39"/>
  <c r="F26" i="39"/>
  <c r="H26" i="39"/>
  <c r="L26" i="39"/>
  <c r="N26" i="39"/>
  <c r="P26" i="39"/>
  <c r="Q13" i="49"/>
  <c r="J13" i="49"/>
  <c r="J10" i="49"/>
  <c r="Q10" i="49"/>
  <c r="M9" i="49"/>
  <c r="T9" i="49" s="1"/>
  <c r="P9" i="49"/>
  <c r="W9" i="49" s="1"/>
  <c r="O9" i="49"/>
  <c r="V9" i="49" s="1"/>
  <c r="N9" i="49"/>
  <c r="U9" i="49" s="1"/>
  <c r="L9" i="49"/>
  <c r="S9" i="49" s="1"/>
  <c r="K9" i="49"/>
  <c r="R9" i="49" s="1"/>
  <c r="J9" i="49"/>
  <c r="Q9" i="49" s="1"/>
  <c r="H37" i="47"/>
  <c r="E37" i="47"/>
  <c r="D37" i="47"/>
  <c r="H17" i="47"/>
  <c r="G17" i="47"/>
  <c r="F17" i="47"/>
  <c r="E17" i="47"/>
  <c r="D17" i="47"/>
  <c r="Z56" i="41"/>
  <c r="Z70" i="41" s="1"/>
  <c r="Y56" i="41"/>
  <c r="Y70" i="41" s="1"/>
  <c r="X56" i="41"/>
  <c r="X70" i="41" s="1"/>
  <c r="W56" i="41"/>
  <c r="W70" i="41" s="1"/>
  <c r="V56" i="41"/>
  <c r="V70" i="41" s="1"/>
  <c r="U56" i="41"/>
  <c r="U70" i="41" s="1"/>
  <c r="T56" i="41"/>
  <c r="T70" i="41" s="1"/>
  <c r="S56" i="41"/>
  <c r="S70" i="41" s="1"/>
  <c r="R56" i="41"/>
  <c r="R70" i="41" s="1"/>
  <c r="Q56" i="41"/>
  <c r="Q70" i="41" s="1"/>
  <c r="P56" i="41"/>
  <c r="P70" i="41" s="1"/>
  <c r="O56" i="41"/>
  <c r="O70" i="41" s="1"/>
  <c r="N56" i="41"/>
  <c r="N70" i="41" s="1"/>
  <c r="M56" i="41"/>
  <c r="M70" i="41" s="1"/>
  <c r="Z47" i="41"/>
  <c r="Z76" i="41" s="1"/>
  <c r="Y47" i="41"/>
  <c r="Y76" i="41" s="1"/>
  <c r="X47" i="41"/>
  <c r="X76" i="41" s="1"/>
  <c r="W47" i="41"/>
  <c r="W76" i="41" s="1"/>
  <c r="V47" i="41"/>
  <c r="V76" i="41" s="1"/>
  <c r="U47" i="41"/>
  <c r="U76" i="41" s="1"/>
  <c r="T47" i="41"/>
  <c r="T76" i="41" s="1"/>
  <c r="S47" i="41"/>
  <c r="S76" i="41" s="1"/>
  <c r="R47" i="41"/>
  <c r="R76" i="41" s="1"/>
  <c r="Q47" i="41"/>
  <c r="Q76" i="41" s="1"/>
  <c r="P47" i="41"/>
  <c r="P76" i="41" s="1"/>
  <c r="O47" i="41"/>
  <c r="O76" i="41" s="1"/>
  <c r="N47" i="41"/>
  <c r="N76" i="41" s="1"/>
  <c r="M47" i="41"/>
  <c r="M76" i="41" s="1"/>
  <c r="F76" i="41"/>
  <c r="Z35" i="41"/>
  <c r="Z75" i="41" s="1"/>
  <c r="Y35" i="41"/>
  <c r="Y75" i="41" s="1"/>
  <c r="X35" i="41"/>
  <c r="X75" i="41" s="1"/>
  <c r="W35" i="41"/>
  <c r="V35" i="41"/>
  <c r="V75" i="41" s="1"/>
  <c r="U35" i="41"/>
  <c r="U75" i="41" s="1"/>
  <c r="T35" i="41"/>
  <c r="T75" i="41" s="1"/>
  <c r="S35" i="41"/>
  <c r="S75" i="41" s="1"/>
  <c r="R35" i="41"/>
  <c r="Q35" i="41"/>
  <c r="P35" i="41"/>
  <c r="O35" i="41"/>
  <c r="N35" i="41"/>
  <c r="M35" i="41"/>
  <c r="M75" i="41" s="1"/>
  <c r="Z10" i="41"/>
  <c r="Z74" i="41" s="1"/>
  <c r="Y10" i="41"/>
  <c r="X10" i="41"/>
  <c r="X74" i="41" s="1"/>
  <c r="W10" i="41"/>
  <c r="W74" i="41" s="1"/>
  <c r="V10" i="41"/>
  <c r="V74" i="41" s="1"/>
  <c r="U10" i="41"/>
  <c r="U74" i="41" s="1"/>
  <c r="T10" i="41"/>
  <c r="T74" i="41" s="1"/>
  <c r="S10" i="41"/>
  <c r="S74" i="41" s="1"/>
  <c r="R10" i="41"/>
  <c r="R74" i="41" s="1"/>
  <c r="Q10" i="41"/>
  <c r="Q74" i="41" s="1"/>
  <c r="P10" i="41"/>
  <c r="P74" i="41" s="1"/>
  <c r="O10" i="41"/>
  <c r="N10" i="41"/>
  <c r="M10" i="41"/>
  <c r="AC99" i="41" l="1"/>
  <c r="F72" i="7" s="1"/>
  <c r="P286" i="50" s="1"/>
  <c r="U112" i="51" s="1"/>
  <c r="AC105" i="41"/>
  <c r="F76" i="7" s="1"/>
  <c r="O290" i="50" s="1"/>
  <c r="V118" i="51" s="1"/>
  <c r="I237" i="50"/>
  <c r="I235" i="50" s="1"/>
  <c r="H259" i="50"/>
  <c r="H258" i="50"/>
  <c r="O74" i="41"/>
  <c r="AA10" i="41"/>
  <c r="AA69" i="41"/>
  <c r="N74" i="41"/>
  <c r="N59" i="51"/>
  <c r="H235" i="50"/>
  <c r="R59" i="51"/>
  <c r="AF59" i="51"/>
  <c r="E68" i="41"/>
  <c r="AD59" i="51"/>
  <c r="K59" i="51"/>
  <c r="X59" i="51"/>
  <c r="G59" i="51"/>
  <c r="H59" i="51"/>
  <c r="J59" i="51"/>
  <c r="P59" i="51"/>
  <c r="AB59" i="51"/>
  <c r="V59" i="51"/>
  <c r="M59" i="51"/>
  <c r="Q59" i="51"/>
  <c r="Y59" i="51"/>
  <c r="AE59" i="51"/>
  <c r="F59" i="51"/>
  <c r="F109" i="51" s="1"/>
  <c r="F134" i="50" s="1"/>
  <c r="F154" i="50" s="1"/>
  <c r="W59" i="51"/>
  <c r="O59" i="51"/>
  <c r="I59" i="51"/>
  <c r="AC59" i="51"/>
  <c r="U59" i="51"/>
  <c r="L56" i="41"/>
  <c r="L70" i="41" s="1"/>
  <c r="F35" i="48"/>
  <c r="F34" i="48" s="1"/>
  <c r="S73" i="41"/>
  <c r="S77" i="41" s="1"/>
  <c r="S92" i="41" s="1"/>
  <c r="U73" i="41"/>
  <c r="U79" i="41" s="1"/>
  <c r="U94" i="41" s="1"/>
  <c r="R15" i="7" s="1"/>
  <c r="T73" i="41"/>
  <c r="T77" i="41" s="1"/>
  <c r="T92" i="41" s="1"/>
  <c r="V73" i="41"/>
  <c r="V77" i="41" s="1"/>
  <c r="V92" i="41" s="1"/>
  <c r="X73" i="41"/>
  <c r="X77" i="41" s="1"/>
  <c r="X92" i="41" s="1"/>
  <c r="Z73" i="41"/>
  <c r="Z77" i="41" s="1"/>
  <c r="Z92" i="41" s="1"/>
  <c r="L47" i="41"/>
  <c r="AA47" i="41" s="1"/>
  <c r="N81" i="41"/>
  <c r="M81" i="41"/>
  <c r="P81" i="41"/>
  <c r="R81" i="41"/>
  <c r="T81" i="41"/>
  <c r="V81" i="41"/>
  <c r="X81" i="41"/>
  <c r="Z81" i="41"/>
  <c r="Y74" i="41"/>
  <c r="W75" i="41"/>
  <c r="Y81" i="41"/>
  <c r="W81" i="41"/>
  <c r="U81" i="41"/>
  <c r="S81" i="41"/>
  <c r="Q81" i="41"/>
  <c r="O81" i="41"/>
  <c r="R75" i="41"/>
  <c r="Q75" i="41"/>
  <c r="P75" i="41"/>
  <c r="O75" i="41"/>
  <c r="N75" i="41"/>
  <c r="M74" i="41"/>
  <c r="E74" i="41"/>
  <c r="F75" i="41"/>
  <c r="H75" i="41"/>
  <c r="J75" i="41"/>
  <c r="E76" i="41"/>
  <c r="G76" i="41"/>
  <c r="I76" i="41"/>
  <c r="K76" i="41"/>
  <c r="I81" i="41"/>
  <c r="E75" i="41"/>
  <c r="I75" i="41"/>
  <c r="K75" i="41"/>
  <c r="L35" i="41"/>
  <c r="AA35" i="41" s="1"/>
  <c r="H76" i="41"/>
  <c r="J81" i="41"/>
  <c r="G75" i="41"/>
  <c r="F81" i="41"/>
  <c r="E35" i="48"/>
  <c r="E34" i="48" s="1"/>
  <c r="M26" i="39"/>
  <c r="I26" i="39"/>
  <c r="E26" i="39"/>
  <c r="O26" i="39"/>
  <c r="K26" i="39"/>
  <c r="G26" i="39"/>
  <c r="J74" i="41"/>
  <c r="G35" i="48"/>
  <c r="G34" i="48" s="1"/>
  <c r="H74" i="41"/>
  <c r="F74" i="41"/>
  <c r="G74" i="41"/>
  <c r="K74" i="41"/>
  <c r="I74" i="41"/>
  <c r="J236" i="50"/>
  <c r="I258" i="50"/>
  <c r="P278" i="50"/>
  <c r="Q256" i="50"/>
  <c r="W259" i="50"/>
  <c r="X237" i="50"/>
  <c r="P235" i="50"/>
  <c r="Q236" i="50"/>
  <c r="P258" i="50"/>
  <c r="W258" i="50"/>
  <c r="X236" i="50"/>
  <c r="J256" i="50"/>
  <c r="J278" i="50" s="1"/>
  <c r="Q254" i="50"/>
  <c r="Q276" i="50" s="1"/>
  <c r="O257" i="50"/>
  <c r="Q237" i="50"/>
  <c r="P259" i="50"/>
  <c r="X254" i="50"/>
  <c r="X276" i="50" s="1"/>
  <c r="X256" i="50"/>
  <c r="W278" i="50"/>
  <c r="H35" i="48"/>
  <c r="H34" i="48" s="1"/>
  <c r="K81" i="41"/>
  <c r="J76" i="41"/>
  <c r="H81" i="41"/>
  <c r="D35" i="48"/>
  <c r="D34" i="48" s="1"/>
  <c r="J237" i="50" l="1"/>
  <c r="K237" i="50" s="1"/>
  <c r="K259" i="50" s="1"/>
  <c r="W186" i="62"/>
  <c r="X114" i="53"/>
  <c r="AF124" i="54" s="1"/>
  <c r="F27" i="16" s="1"/>
  <c r="E54" i="47" s="1"/>
  <c r="E30" i="20" s="1"/>
  <c r="W181" i="62"/>
  <c r="X109" i="53"/>
  <c r="AE118" i="54" s="1"/>
  <c r="E22" i="16" s="1"/>
  <c r="D49" i="47" s="1"/>
  <c r="F36" i="21" s="1"/>
  <c r="AA56" i="41"/>
  <c r="AA70" i="41"/>
  <c r="F39" i="50"/>
  <c r="F64" i="50" s="1"/>
  <c r="F42" i="50"/>
  <c r="F67" i="50" s="1"/>
  <c r="G15" i="7"/>
  <c r="C15" i="7"/>
  <c r="I14" i="7"/>
  <c r="I15" i="7"/>
  <c r="E15" i="7"/>
  <c r="M73" i="41"/>
  <c r="M77" i="41" s="1"/>
  <c r="M92" i="41" s="1"/>
  <c r="Q73" i="41"/>
  <c r="Q78" i="41" s="1"/>
  <c r="Q93" i="41" s="1"/>
  <c r="N14" i="7" s="1"/>
  <c r="W73" i="41"/>
  <c r="W78" i="41" s="1"/>
  <c r="W93" i="41" s="1"/>
  <c r="M15" i="7" s="1"/>
  <c r="Z79" i="41"/>
  <c r="Z94" i="41" s="1"/>
  <c r="W15" i="7" s="1"/>
  <c r="V79" i="41"/>
  <c r="V94" i="41" s="1"/>
  <c r="S15" i="7" s="1"/>
  <c r="U78" i="41"/>
  <c r="U93" i="41" s="1"/>
  <c r="K15" i="7" s="1"/>
  <c r="U77" i="41"/>
  <c r="U92" i="41" s="1"/>
  <c r="S79" i="41"/>
  <c r="S94" i="41" s="1"/>
  <c r="W14" i="7" s="1"/>
  <c r="Z78" i="41"/>
  <c r="Z93" i="41" s="1"/>
  <c r="P15" i="7" s="1"/>
  <c r="V78" i="41"/>
  <c r="V93" i="41" s="1"/>
  <c r="L15" i="7" s="1"/>
  <c r="P73" i="41"/>
  <c r="P78" i="41" s="1"/>
  <c r="P93" i="41" s="1"/>
  <c r="M14" i="7" s="1"/>
  <c r="R73" i="41"/>
  <c r="R78" i="41" s="1"/>
  <c r="R93" i="41" s="1"/>
  <c r="O14" i="7" s="1"/>
  <c r="Y73" i="41"/>
  <c r="Y77" i="41" s="1"/>
  <c r="Y92" i="41" s="1"/>
  <c r="X79" i="41"/>
  <c r="X94" i="41" s="1"/>
  <c r="U15" i="7" s="1"/>
  <c r="T79" i="41"/>
  <c r="T94" i="41" s="1"/>
  <c r="Q15" i="7" s="1"/>
  <c r="S78" i="41"/>
  <c r="S93" i="41" s="1"/>
  <c r="P14" i="7" s="1"/>
  <c r="X78" i="41"/>
  <c r="X93" i="41" s="1"/>
  <c r="N15" i="7" s="1"/>
  <c r="T78" i="41"/>
  <c r="T93" i="41" s="1"/>
  <c r="J15" i="7" s="1"/>
  <c r="F48" i="50"/>
  <c r="F50" i="50"/>
  <c r="F75" i="50" s="1"/>
  <c r="F52" i="50"/>
  <c r="F77" i="50" s="1"/>
  <c r="F49" i="50"/>
  <c r="F74" i="50" s="1"/>
  <c r="F51" i="50"/>
  <c r="F76" i="50" s="1"/>
  <c r="F53" i="50"/>
  <c r="F139" i="50"/>
  <c r="F159" i="50" s="1"/>
  <c r="I259" i="50"/>
  <c r="I257" i="50" s="1"/>
  <c r="H257" i="50"/>
  <c r="F38" i="50"/>
  <c r="F36" i="50"/>
  <c r="F40" i="21"/>
  <c r="L22" i="22" s="1"/>
  <c r="C35" i="48"/>
  <c r="C8" i="47"/>
  <c r="L74" i="41"/>
  <c r="AA74" i="41" s="1"/>
  <c r="O73" i="41"/>
  <c r="O79" i="41" s="1"/>
  <c r="O94" i="41" s="1"/>
  <c r="S14" i="7" s="1"/>
  <c r="L81" i="41"/>
  <c r="AA81" i="41" s="1"/>
  <c r="L76" i="41"/>
  <c r="AA76" i="41" s="1"/>
  <c r="L75" i="41"/>
  <c r="AA75" i="41" s="1"/>
  <c r="N73" i="41"/>
  <c r="N79" i="41" s="1"/>
  <c r="N94" i="41" s="1"/>
  <c r="R14" i="7" s="1"/>
  <c r="R13" i="7" s="1"/>
  <c r="F136" i="50"/>
  <c r="F156" i="50" s="1"/>
  <c r="F146" i="50"/>
  <c r="F166" i="50" s="1"/>
  <c r="F135" i="50"/>
  <c r="F155" i="50" s="1"/>
  <c r="F148" i="50"/>
  <c r="F168" i="50" s="1"/>
  <c r="F144" i="50"/>
  <c r="F164" i="50" s="1"/>
  <c r="F142" i="50"/>
  <c r="F162" i="50" s="1"/>
  <c r="F137" i="50"/>
  <c r="F157" i="50" s="1"/>
  <c r="F149" i="50"/>
  <c r="F131" i="50"/>
  <c r="F132" i="50"/>
  <c r="F152" i="50" s="1"/>
  <c r="F147" i="50"/>
  <c r="F167" i="50" s="1"/>
  <c r="F145" i="50"/>
  <c r="F165" i="50" s="1"/>
  <c r="F143" i="50"/>
  <c r="F163" i="50" s="1"/>
  <c r="F141" i="50"/>
  <c r="F161" i="50" s="1"/>
  <c r="F140" i="50"/>
  <c r="F160" i="50" s="1"/>
  <c r="F138" i="50"/>
  <c r="F158" i="50" s="1"/>
  <c r="F133" i="50"/>
  <c r="F153" i="50" s="1"/>
  <c r="F57" i="50"/>
  <c r="F82" i="50" s="1"/>
  <c r="F56" i="50"/>
  <c r="F54" i="50"/>
  <c r="F79" i="50" s="1"/>
  <c r="F46" i="50"/>
  <c r="F40" i="50"/>
  <c r="F44" i="50"/>
  <c r="F45" i="50"/>
  <c r="F55" i="50"/>
  <c r="F47" i="50"/>
  <c r="F41" i="50"/>
  <c r="F35" i="50"/>
  <c r="F58" i="50"/>
  <c r="L68" i="41"/>
  <c r="J111" i="51"/>
  <c r="X134" i="50" s="1"/>
  <c r="I110" i="51"/>
  <c r="P134" i="50" s="1"/>
  <c r="H110" i="51"/>
  <c r="O134" i="50" s="1"/>
  <c r="K110" i="51"/>
  <c r="R134" i="50" s="1"/>
  <c r="F110" i="51"/>
  <c r="M134" i="50" s="1"/>
  <c r="M154" i="50" s="1"/>
  <c r="G110" i="51"/>
  <c r="N134" i="50" s="1"/>
  <c r="H109" i="51"/>
  <c r="H134" i="50" s="1"/>
  <c r="I109" i="51"/>
  <c r="I134" i="50" s="1"/>
  <c r="F111" i="51"/>
  <c r="T134" i="50" s="1"/>
  <c r="T154" i="50" s="1"/>
  <c r="G109" i="51"/>
  <c r="G134" i="50" s="1"/>
  <c r="G154" i="50" s="1"/>
  <c r="K111" i="51"/>
  <c r="Y134" i="50" s="1"/>
  <c r="J110" i="51"/>
  <c r="Q134" i="50" s="1"/>
  <c r="J109" i="51"/>
  <c r="J134" i="50" s="1"/>
  <c r="H111" i="51"/>
  <c r="V134" i="50" s="1"/>
  <c r="G111" i="51"/>
  <c r="U134" i="50" s="1"/>
  <c r="K109" i="51"/>
  <c r="K134" i="50" s="1"/>
  <c r="I111" i="51"/>
  <c r="W134" i="50" s="1"/>
  <c r="I73" i="41"/>
  <c r="I77" i="41" s="1"/>
  <c r="G73" i="41"/>
  <c r="J73" i="41"/>
  <c r="J79" i="41" s="1"/>
  <c r="K73" i="41"/>
  <c r="K78" i="41" s="1"/>
  <c r="F73" i="41"/>
  <c r="F79" i="41" s="1"/>
  <c r="T114" i="50" s="1"/>
  <c r="H73" i="41"/>
  <c r="H79" i="41" s="1"/>
  <c r="E73" i="41"/>
  <c r="E78" i="41" s="1"/>
  <c r="E93" i="41" s="1"/>
  <c r="Y254" i="50"/>
  <c r="Y276" i="50" s="1"/>
  <c r="Q259" i="50"/>
  <c r="R237" i="50"/>
  <c r="R259" i="50" s="1"/>
  <c r="Q258" i="50"/>
  <c r="R236" i="50"/>
  <c r="Q235" i="50"/>
  <c r="J259" i="50"/>
  <c r="P257" i="50"/>
  <c r="J258" i="50"/>
  <c r="K236" i="50"/>
  <c r="R254" i="50"/>
  <c r="R276" i="50" s="1"/>
  <c r="X259" i="50"/>
  <c r="Y237" i="50"/>
  <c r="Y259" i="50" s="1"/>
  <c r="X278" i="50"/>
  <c r="Y256" i="50"/>
  <c r="Y278" i="50" s="1"/>
  <c r="K256" i="50"/>
  <c r="K278" i="50" s="1"/>
  <c r="X258" i="50"/>
  <c r="Y236" i="50"/>
  <c r="Q278" i="50"/>
  <c r="R256" i="50"/>
  <c r="R278" i="50" s="1"/>
  <c r="K17" i="22" l="1"/>
  <c r="E29" i="17"/>
  <c r="Q29" i="49"/>
  <c r="E34" i="17"/>
  <c r="E57" i="48"/>
  <c r="J235" i="50"/>
  <c r="D52" i="48"/>
  <c r="P24" i="49"/>
  <c r="E25" i="20"/>
  <c r="F151" i="50"/>
  <c r="F130" i="50"/>
  <c r="W13" i="7"/>
  <c r="H154" i="50"/>
  <c r="I154" i="50" s="1"/>
  <c r="J154" i="50" s="1"/>
  <c r="K154" i="50" s="1"/>
  <c r="U154" i="50"/>
  <c r="V154" i="50" s="1"/>
  <c r="W154" i="50" s="1"/>
  <c r="X154" i="50" s="1"/>
  <c r="Y154" i="50" s="1"/>
  <c r="T174" i="50"/>
  <c r="N154" i="50"/>
  <c r="O154" i="50" s="1"/>
  <c r="P154" i="50" s="1"/>
  <c r="Q154" i="50" s="1"/>
  <c r="R154" i="50" s="1"/>
  <c r="P13" i="7"/>
  <c r="T14" i="50"/>
  <c r="T17" i="50"/>
  <c r="K39" i="50"/>
  <c r="K42" i="50"/>
  <c r="V39" i="50"/>
  <c r="V42" i="50"/>
  <c r="Q39" i="50"/>
  <c r="Q42" i="50"/>
  <c r="G39" i="50"/>
  <c r="G64" i="50" s="1"/>
  <c r="G42" i="50"/>
  <c r="G67" i="50" s="1"/>
  <c r="I39" i="50"/>
  <c r="I42" i="50"/>
  <c r="N39" i="50"/>
  <c r="N42" i="50"/>
  <c r="R39" i="50"/>
  <c r="R42" i="50"/>
  <c r="O39" i="50"/>
  <c r="O42" i="50"/>
  <c r="X39" i="50"/>
  <c r="X42" i="50"/>
  <c r="W39" i="50"/>
  <c r="W42" i="50"/>
  <c r="U39" i="50"/>
  <c r="U42" i="50"/>
  <c r="J39" i="50"/>
  <c r="J42" i="50"/>
  <c r="Y39" i="50"/>
  <c r="Y42" i="50"/>
  <c r="T39" i="50"/>
  <c r="T64" i="50" s="1"/>
  <c r="T42" i="50"/>
  <c r="T67" i="50" s="1"/>
  <c r="H39" i="50"/>
  <c r="H42" i="50"/>
  <c r="M39" i="50"/>
  <c r="M64" i="50" s="1"/>
  <c r="N64" i="50" s="1"/>
  <c r="M42" i="50"/>
  <c r="M67" i="50" s="1"/>
  <c r="P39" i="50"/>
  <c r="P42" i="50"/>
  <c r="S13" i="7"/>
  <c r="N13" i="7"/>
  <c r="C14" i="7"/>
  <c r="H15" i="7"/>
  <c r="M13" i="7"/>
  <c r="N78" i="41"/>
  <c r="N93" i="41" s="1"/>
  <c r="K14" i="7" s="1"/>
  <c r="K13" i="7" s="1"/>
  <c r="O78" i="41"/>
  <c r="O93" i="41" s="1"/>
  <c r="L14" i="7" s="1"/>
  <c r="L13" i="7" s="1"/>
  <c r="V91" i="41"/>
  <c r="Z91" i="41"/>
  <c r="S91" i="41"/>
  <c r="T91" i="41"/>
  <c r="X91" i="41"/>
  <c r="N77" i="41"/>
  <c r="N92" i="41" s="1"/>
  <c r="Y79" i="41"/>
  <c r="Y94" i="41" s="1"/>
  <c r="V15" i="7" s="1"/>
  <c r="Y78" i="41"/>
  <c r="Y93" i="41" s="1"/>
  <c r="O15" i="7" s="1"/>
  <c r="O13" i="7" s="1"/>
  <c r="R77" i="41"/>
  <c r="R92" i="41" s="1"/>
  <c r="R79" i="41"/>
  <c r="R94" i="41" s="1"/>
  <c r="V14" i="7" s="1"/>
  <c r="P77" i="41"/>
  <c r="P92" i="41" s="1"/>
  <c r="P79" i="41"/>
  <c r="P94" i="41" s="1"/>
  <c r="T14" i="7" s="1"/>
  <c r="E77" i="41"/>
  <c r="E82" i="41" s="1"/>
  <c r="E87" i="41" s="1"/>
  <c r="E79" i="41"/>
  <c r="D15" i="7"/>
  <c r="U91" i="41"/>
  <c r="O77" i="41"/>
  <c r="O92" i="41" s="1"/>
  <c r="W77" i="41"/>
  <c r="W92" i="41" s="1"/>
  <c r="W79" i="41"/>
  <c r="W94" i="41" s="1"/>
  <c r="T15" i="7" s="1"/>
  <c r="Q79" i="41"/>
  <c r="Q94" i="41" s="1"/>
  <c r="U14" i="7" s="1"/>
  <c r="U13" i="7" s="1"/>
  <c r="Q77" i="41"/>
  <c r="Q92" i="41" s="1"/>
  <c r="M79" i="41"/>
  <c r="M94" i="41" s="1"/>
  <c r="Q14" i="7" s="1"/>
  <c r="M78" i="41"/>
  <c r="M93" i="41" s="1"/>
  <c r="J14" i="7" s="1"/>
  <c r="I13" i="7"/>
  <c r="Q47" i="50"/>
  <c r="Q49" i="50"/>
  <c r="Q51" i="50"/>
  <c r="Q53" i="50"/>
  <c r="Q48" i="50"/>
  <c r="Q50" i="50"/>
  <c r="Q52" i="50"/>
  <c r="Q139" i="50"/>
  <c r="I51" i="50"/>
  <c r="I50" i="50"/>
  <c r="I49" i="50"/>
  <c r="I53" i="50"/>
  <c r="I48" i="50"/>
  <c r="I52" i="50"/>
  <c r="I139" i="50"/>
  <c r="R49" i="50"/>
  <c r="R53" i="50"/>
  <c r="R48" i="50"/>
  <c r="R52" i="50"/>
  <c r="R47" i="50"/>
  <c r="R51" i="50"/>
  <c r="R50" i="50"/>
  <c r="R139" i="50"/>
  <c r="X48" i="50"/>
  <c r="X50" i="50"/>
  <c r="X52" i="50"/>
  <c r="X47" i="50"/>
  <c r="X49" i="50"/>
  <c r="X51" i="50"/>
  <c r="X53" i="50"/>
  <c r="X139" i="50"/>
  <c r="T28" i="50"/>
  <c r="T26" i="50"/>
  <c r="T25" i="50"/>
  <c r="T27" i="50"/>
  <c r="T119" i="50"/>
  <c r="V47" i="50"/>
  <c r="V49" i="50"/>
  <c r="V51" i="50"/>
  <c r="V53" i="50"/>
  <c r="V48" i="50"/>
  <c r="V50" i="50"/>
  <c r="V52" i="50"/>
  <c r="V139" i="50"/>
  <c r="G50" i="50"/>
  <c r="G75" i="50" s="1"/>
  <c r="G49" i="50"/>
  <c r="G74" i="50" s="1"/>
  <c r="G53" i="50"/>
  <c r="G48" i="50"/>
  <c r="G52" i="50"/>
  <c r="G51" i="50"/>
  <c r="G76" i="50" s="1"/>
  <c r="G139" i="50"/>
  <c r="G159" i="50" s="1"/>
  <c r="N47" i="50"/>
  <c r="N51" i="50"/>
  <c r="N50" i="50"/>
  <c r="N49" i="50"/>
  <c r="N53" i="50"/>
  <c r="N48" i="50"/>
  <c r="N52" i="50"/>
  <c r="N139" i="50"/>
  <c r="O48" i="50"/>
  <c r="O50" i="50"/>
  <c r="O52" i="50"/>
  <c r="O47" i="50"/>
  <c r="O49" i="50"/>
  <c r="O51" i="50"/>
  <c r="O53" i="50"/>
  <c r="O139" i="50"/>
  <c r="W49" i="50"/>
  <c r="W53" i="50"/>
  <c r="W48" i="50"/>
  <c r="W52" i="50"/>
  <c r="W47" i="50"/>
  <c r="W51" i="50"/>
  <c r="W50" i="50"/>
  <c r="W139" i="50"/>
  <c r="J48" i="50"/>
  <c r="J50" i="50"/>
  <c r="J52" i="50"/>
  <c r="J49" i="50"/>
  <c r="J51" i="50"/>
  <c r="J53" i="50"/>
  <c r="J139" i="50"/>
  <c r="T48" i="50"/>
  <c r="T50" i="50"/>
  <c r="T75" i="50" s="1"/>
  <c r="T52" i="50"/>
  <c r="T77" i="50" s="1"/>
  <c r="T47" i="50"/>
  <c r="T49" i="50"/>
  <c r="T51" i="50"/>
  <c r="T76" i="50" s="1"/>
  <c r="T53" i="50"/>
  <c r="T78" i="50" s="1"/>
  <c r="T139" i="50"/>
  <c r="T159" i="50" s="1"/>
  <c r="M47" i="50"/>
  <c r="M49" i="50"/>
  <c r="M74" i="50" s="1"/>
  <c r="M51" i="50"/>
  <c r="M76" i="50" s="1"/>
  <c r="N76" i="50" s="1"/>
  <c r="O76" i="50" s="1"/>
  <c r="M53" i="50"/>
  <c r="M78" i="50" s="1"/>
  <c r="M48" i="50"/>
  <c r="M50" i="50"/>
  <c r="M75" i="50" s="1"/>
  <c r="M52" i="50"/>
  <c r="M77" i="50" s="1"/>
  <c r="M139" i="50"/>
  <c r="M159" i="50" s="1"/>
  <c r="P48" i="50"/>
  <c r="P52" i="50"/>
  <c r="P47" i="50"/>
  <c r="P51" i="50"/>
  <c r="P50" i="50"/>
  <c r="P49" i="50"/>
  <c r="P53" i="50"/>
  <c r="P139" i="50"/>
  <c r="U48" i="50"/>
  <c r="U52" i="50"/>
  <c r="U47" i="50"/>
  <c r="U51" i="50"/>
  <c r="U50" i="50"/>
  <c r="U49" i="50"/>
  <c r="U53" i="50"/>
  <c r="U139" i="50"/>
  <c r="H49" i="50"/>
  <c r="H51" i="50"/>
  <c r="H53" i="50"/>
  <c r="H48" i="50"/>
  <c r="H50" i="50"/>
  <c r="H52" i="50"/>
  <c r="H139" i="50"/>
  <c r="K48" i="50"/>
  <c r="K52" i="50"/>
  <c r="K51" i="50"/>
  <c r="K50" i="50"/>
  <c r="K49" i="50"/>
  <c r="K53" i="50"/>
  <c r="K139" i="50"/>
  <c r="Y50" i="50"/>
  <c r="Y49" i="50"/>
  <c r="Y48" i="50"/>
  <c r="Y52" i="50"/>
  <c r="Y47" i="50"/>
  <c r="Y51" i="50"/>
  <c r="Y53" i="50"/>
  <c r="Y139" i="50"/>
  <c r="C7" i="47"/>
  <c r="M83" i="41"/>
  <c r="M88" i="41" s="1"/>
  <c r="T83" i="41"/>
  <c r="Q82" i="41"/>
  <c r="X82" i="41"/>
  <c r="I92" i="41"/>
  <c r="R84" i="41"/>
  <c r="Y84" i="41"/>
  <c r="J94" i="41"/>
  <c r="V9" i="7" s="1"/>
  <c r="N84" i="41"/>
  <c r="U84" i="41"/>
  <c r="F94" i="41"/>
  <c r="R9" i="7" s="1"/>
  <c r="S83" i="41"/>
  <c r="Z83" i="41"/>
  <c r="Z88" i="41" s="1"/>
  <c r="K93" i="41"/>
  <c r="P9" i="7" s="1"/>
  <c r="W84" i="41"/>
  <c r="W89" i="41" s="1"/>
  <c r="H94" i="41"/>
  <c r="T9" i="7" s="1"/>
  <c r="P84" i="41"/>
  <c r="P89" i="41" s="1"/>
  <c r="C34" i="48"/>
  <c r="G79" i="41"/>
  <c r="L73" i="41"/>
  <c r="AA73" i="41" s="1"/>
  <c r="T116" i="50"/>
  <c r="T124" i="50"/>
  <c r="T115" i="50"/>
  <c r="U115" i="50" s="1"/>
  <c r="V115" i="50" s="1"/>
  <c r="T127" i="50"/>
  <c r="T128" i="50"/>
  <c r="T111" i="50"/>
  <c r="T120" i="50"/>
  <c r="U120" i="50" s="1"/>
  <c r="V120" i="50" s="1"/>
  <c r="T112" i="50"/>
  <c r="T126" i="50"/>
  <c r="T121" i="50"/>
  <c r="T123" i="50"/>
  <c r="U123" i="50" s="1"/>
  <c r="V123" i="50" s="1"/>
  <c r="T117" i="50"/>
  <c r="T125" i="50"/>
  <c r="T122" i="50"/>
  <c r="T118" i="50"/>
  <c r="U118" i="50" s="1"/>
  <c r="V118" i="50" s="1"/>
  <c r="T113" i="50"/>
  <c r="W131" i="50"/>
  <c r="W136" i="50"/>
  <c r="W145" i="50"/>
  <c r="W135" i="50"/>
  <c r="W146" i="50"/>
  <c r="W142" i="50"/>
  <c r="W137" i="50"/>
  <c r="W149" i="50"/>
  <c r="W147" i="50"/>
  <c r="W143" i="50"/>
  <c r="W141" i="50"/>
  <c r="W132" i="50"/>
  <c r="W148" i="50"/>
  <c r="W144" i="50"/>
  <c r="W140" i="50"/>
  <c r="W133" i="50"/>
  <c r="W138" i="50"/>
  <c r="U149" i="50"/>
  <c r="U132" i="50"/>
  <c r="U148" i="50"/>
  <c r="U144" i="50"/>
  <c r="U131" i="50"/>
  <c r="U145" i="50"/>
  <c r="U140" i="50"/>
  <c r="U136" i="50"/>
  <c r="U146" i="50"/>
  <c r="U142" i="50"/>
  <c r="U147" i="50"/>
  <c r="U143" i="50"/>
  <c r="U141" i="50"/>
  <c r="U135" i="50"/>
  <c r="U137" i="50"/>
  <c r="U133" i="50"/>
  <c r="U138" i="50"/>
  <c r="J149" i="50"/>
  <c r="J136" i="50"/>
  <c r="J141" i="50"/>
  <c r="J140" i="50"/>
  <c r="J145" i="50"/>
  <c r="J131" i="50"/>
  <c r="J135" i="50"/>
  <c r="J132" i="50"/>
  <c r="J147" i="50"/>
  <c r="J143" i="50"/>
  <c r="J142" i="50"/>
  <c r="J137" i="50"/>
  <c r="J148" i="50"/>
  <c r="J146" i="50"/>
  <c r="J144" i="50"/>
  <c r="J133" i="50"/>
  <c r="J138" i="50"/>
  <c r="Y147" i="50"/>
  <c r="Y143" i="50"/>
  <c r="Y141" i="50"/>
  <c r="Y135" i="50"/>
  <c r="Y137" i="50"/>
  <c r="Y149" i="50"/>
  <c r="Y132" i="50"/>
  <c r="Y148" i="50"/>
  <c r="Y144" i="50"/>
  <c r="Y136" i="50"/>
  <c r="Y145" i="50"/>
  <c r="Y140" i="50"/>
  <c r="Y131" i="50"/>
  <c r="Y146" i="50"/>
  <c r="Y142" i="50"/>
  <c r="Y133" i="50"/>
  <c r="Y138" i="50"/>
  <c r="T135" i="50"/>
  <c r="T155" i="50" s="1"/>
  <c r="T132" i="50"/>
  <c r="T152" i="50" s="1"/>
  <c r="T137" i="50"/>
  <c r="T157" i="50" s="1"/>
  <c r="T149" i="50"/>
  <c r="T169" i="50" s="1"/>
  <c r="T136" i="50"/>
  <c r="T156" i="50" s="1"/>
  <c r="T141" i="50"/>
  <c r="T161" i="50" s="1"/>
  <c r="T148" i="50"/>
  <c r="T168" i="50" s="1"/>
  <c r="T144" i="50"/>
  <c r="T164" i="50" s="1"/>
  <c r="T131" i="50"/>
  <c r="T151" i="50" s="1"/>
  <c r="T147" i="50"/>
  <c r="T167" i="50" s="1"/>
  <c r="T145" i="50"/>
  <c r="T165" i="50" s="1"/>
  <c r="T143" i="50"/>
  <c r="T163" i="50" s="1"/>
  <c r="T146" i="50"/>
  <c r="T166" i="50" s="1"/>
  <c r="T142" i="50"/>
  <c r="T162" i="50" s="1"/>
  <c r="T140" i="50"/>
  <c r="T160" i="50" s="1"/>
  <c r="T133" i="50"/>
  <c r="T153" i="50" s="1"/>
  <c r="T138" i="50"/>
  <c r="T158" i="50" s="1"/>
  <c r="H131" i="50"/>
  <c r="H145" i="50"/>
  <c r="H149" i="50"/>
  <c r="H136" i="50"/>
  <c r="H132" i="50"/>
  <c r="H147" i="50"/>
  <c r="H143" i="50"/>
  <c r="H146" i="50"/>
  <c r="H140" i="50"/>
  <c r="H148" i="50"/>
  <c r="H144" i="50"/>
  <c r="H135" i="50"/>
  <c r="H141" i="50"/>
  <c r="H142" i="50"/>
  <c r="H137" i="50"/>
  <c r="H138" i="50"/>
  <c r="H133" i="50"/>
  <c r="M149" i="50"/>
  <c r="M169" i="50" s="1"/>
  <c r="M136" i="50"/>
  <c r="M156" i="50" s="1"/>
  <c r="M147" i="50"/>
  <c r="M167" i="50" s="1"/>
  <c r="M143" i="50"/>
  <c r="M163" i="50" s="1"/>
  <c r="M137" i="50"/>
  <c r="M157" i="50" s="1"/>
  <c r="M145" i="50"/>
  <c r="M165" i="50" s="1"/>
  <c r="M140" i="50"/>
  <c r="M160" i="50" s="1"/>
  <c r="M131" i="50"/>
  <c r="M132" i="50"/>
  <c r="M152" i="50" s="1"/>
  <c r="M141" i="50"/>
  <c r="M161" i="50" s="1"/>
  <c r="M135" i="50"/>
  <c r="M155" i="50" s="1"/>
  <c r="M148" i="50"/>
  <c r="M168" i="50" s="1"/>
  <c r="M146" i="50"/>
  <c r="M166" i="50" s="1"/>
  <c r="M144" i="50"/>
  <c r="M164" i="50" s="1"/>
  <c r="M142" i="50"/>
  <c r="M162" i="50" s="1"/>
  <c r="M133" i="50"/>
  <c r="M153" i="50" s="1"/>
  <c r="M138" i="50"/>
  <c r="M158" i="50" s="1"/>
  <c r="P149" i="50"/>
  <c r="P132" i="50"/>
  <c r="P147" i="50"/>
  <c r="P143" i="50"/>
  <c r="P135" i="50"/>
  <c r="P148" i="50"/>
  <c r="P144" i="50"/>
  <c r="P137" i="50"/>
  <c r="P131" i="50"/>
  <c r="P145" i="50"/>
  <c r="P141" i="50"/>
  <c r="P146" i="50"/>
  <c r="P140" i="50"/>
  <c r="P136" i="50"/>
  <c r="P142" i="50"/>
  <c r="P133" i="50"/>
  <c r="P138" i="50"/>
  <c r="K135" i="50"/>
  <c r="K145" i="50"/>
  <c r="K142" i="50"/>
  <c r="K137" i="50"/>
  <c r="K131" i="50"/>
  <c r="K132" i="50"/>
  <c r="K141" i="50"/>
  <c r="K148" i="50"/>
  <c r="K144" i="50"/>
  <c r="K149" i="50"/>
  <c r="K147" i="50"/>
  <c r="K143" i="50"/>
  <c r="K140" i="50"/>
  <c r="K136" i="50"/>
  <c r="K146" i="50"/>
  <c r="K138" i="50"/>
  <c r="K133" i="50"/>
  <c r="V131" i="50"/>
  <c r="V147" i="50"/>
  <c r="V143" i="50"/>
  <c r="V146" i="50"/>
  <c r="V142" i="50"/>
  <c r="V145" i="50"/>
  <c r="V141" i="50"/>
  <c r="V140" i="50"/>
  <c r="V132" i="50"/>
  <c r="V149" i="50"/>
  <c r="V136" i="50"/>
  <c r="V135" i="50"/>
  <c r="V148" i="50"/>
  <c r="V144" i="50"/>
  <c r="V137" i="50"/>
  <c r="V133" i="50"/>
  <c r="V138" i="50"/>
  <c r="Q141" i="50"/>
  <c r="Q135" i="50"/>
  <c r="Q131" i="50"/>
  <c r="Q132" i="50"/>
  <c r="Q146" i="50"/>
  <c r="Q149" i="50"/>
  <c r="Q136" i="50"/>
  <c r="Q148" i="50"/>
  <c r="Q144" i="50"/>
  <c r="Q142" i="50"/>
  <c r="Q140" i="50"/>
  <c r="Q147" i="50"/>
  <c r="Q145" i="50"/>
  <c r="Q143" i="50"/>
  <c r="Q137" i="50"/>
  <c r="Q133" i="50"/>
  <c r="Q138" i="50"/>
  <c r="G131" i="50"/>
  <c r="G132" i="50"/>
  <c r="G152" i="50" s="1"/>
  <c r="G148" i="50"/>
  <c r="G168" i="50" s="1"/>
  <c r="G144" i="50"/>
  <c r="G164" i="50" s="1"/>
  <c r="G136" i="50"/>
  <c r="G156" i="50" s="1"/>
  <c r="G147" i="50"/>
  <c r="G167" i="50" s="1"/>
  <c r="G143" i="50"/>
  <c r="G163" i="50" s="1"/>
  <c r="G140" i="50"/>
  <c r="G160" i="50" s="1"/>
  <c r="G141" i="50"/>
  <c r="G161" i="50" s="1"/>
  <c r="G146" i="50"/>
  <c r="G166" i="50" s="1"/>
  <c r="G149" i="50"/>
  <c r="G135" i="50"/>
  <c r="G155" i="50" s="1"/>
  <c r="G145" i="50"/>
  <c r="G165" i="50" s="1"/>
  <c r="G142" i="50"/>
  <c r="G162" i="50" s="1"/>
  <c r="G137" i="50"/>
  <c r="G157" i="50" s="1"/>
  <c r="G133" i="50"/>
  <c r="G153" i="50" s="1"/>
  <c r="G138" i="50"/>
  <c r="G158" i="50" s="1"/>
  <c r="I135" i="50"/>
  <c r="I147" i="50"/>
  <c r="I143" i="50"/>
  <c r="I141" i="50"/>
  <c r="I146" i="50"/>
  <c r="I142" i="50"/>
  <c r="I137" i="50"/>
  <c r="I136" i="50"/>
  <c r="I149" i="50"/>
  <c r="I132" i="50"/>
  <c r="I145" i="50"/>
  <c r="I148" i="50"/>
  <c r="I144" i="50"/>
  <c r="I140" i="50"/>
  <c r="I131" i="50"/>
  <c r="I138" i="50"/>
  <c r="I133" i="50"/>
  <c r="N136" i="50"/>
  <c r="N145" i="50"/>
  <c r="N142" i="50"/>
  <c r="N149" i="50"/>
  <c r="N132" i="50"/>
  <c r="N141" i="50"/>
  <c r="N148" i="50"/>
  <c r="N144" i="50"/>
  <c r="N137" i="50"/>
  <c r="N147" i="50"/>
  <c r="N143" i="50"/>
  <c r="N135" i="50"/>
  <c r="N131" i="50"/>
  <c r="N146" i="50"/>
  <c r="N140" i="50"/>
  <c r="N133" i="50"/>
  <c r="N138" i="50"/>
  <c r="R136" i="50"/>
  <c r="R146" i="50"/>
  <c r="R142" i="50"/>
  <c r="R140" i="50"/>
  <c r="R131" i="50"/>
  <c r="R145" i="50"/>
  <c r="R135" i="50"/>
  <c r="R132" i="50"/>
  <c r="R141" i="50"/>
  <c r="R148" i="50"/>
  <c r="R144" i="50"/>
  <c r="R137" i="50"/>
  <c r="R149" i="50"/>
  <c r="R147" i="50"/>
  <c r="R143" i="50"/>
  <c r="R138" i="50"/>
  <c r="R133" i="50"/>
  <c r="O131" i="50"/>
  <c r="O149" i="50"/>
  <c r="O146" i="50"/>
  <c r="O147" i="50"/>
  <c r="O143" i="50"/>
  <c r="O141" i="50"/>
  <c r="O148" i="50"/>
  <c r="O144" i="50"/>
  <c r="O142" i="50"/>
  <c r="O140" i="50"/>
  <c r="O145" i="50"/>
  <c r="O136" i="50"/>
  <c r="O132" i="50"/>
  <c r="O135" i="50"/>
  <c r="O137" i="50"/>
  <c r="O138" i="50"/>
  <c r="O133" i="50"/>
  <c r="X140" i="50"/>
  <c r="X149" i="50"/>
  <c r="X147" i="50"/>
  <c r="X143" i="50"/>
  <c r="X141" i="50"/>
  <c r="X148" i="50"/>
  <c r="X146" i="50"/>
  <c r="X144" i="50"/>
  <c r="X142" i="50"/>
  <c r="X131" i="50"/>
  <c r="X136" i="50"/>
  <c r="X145" i="50"/>
  <c r="X135" i="50"/>
  <c r="X137" i="50"/>
  <c r="X132" i="50"/>
  <c r="X133" i="50"/>
  <c r="X138" i="50"/>
  <c r="F112" i="51"/>
  <c r="U57" i="50"/>
  <c r="U56" i="50"/>
  <c r="U58" i="50"/>
  <c r="U45" i="50"/>
  <c r="U38" i="50"/>
  <c r="U41" i="50"/>
  <c r="U40" i="50"/>
  <c r="U44" i="50"/>
  <c r="U36" i="50"/>
  <c r="U54" i="50"/>
  <c r="U46" i="50"/>
  <c r="U35" i="50"/>
  <c r="U55" i="50"/>
  <c r="Y57" i="50"/>
  <c r="Y56" i="50"/>
  <c r="Y44" i="50"/>
  <c r="Y36" i="50"/>
  <c r="Y55" i="50"/>
  <c r="Y41" i="50"/>
  <c r="Y54" i="50"/>
  <c r="Y58" i="50"/>
  <c r="Y45" i="50"/>
  <c r="Y38" i="50"/>
  <c r="Y40" i="50"/>
  <c r="Y46" i="50"/>
  <c r="Y35" i="50"/>
  <c r="H56" i="50"/>
  <c r="H57" i="50"/>
  <c r="H112" i="51"/>
  <c r="H58" i="50"/>
  <c r="H44" i="50"/>
  <c r="H36" i="50"/>
  <c r="H40" i="50"/>
  <c r="H46" i="50"/>
  <c r="H55" i="50"/>
  <c r="H47" i="50"/>
  <c r="H41" i="50"/>
  <c r="H35" i="50"/>
  <c r="H45" i="50"/>
  <c r="H38" i="50"/>
  <c r="H54" i="50"/>
  <c r="K57" i="50"/>
  <c r="K56" i="50"/>
  <c r="K112" i="51"/>
  <c r="K40" i="50"/>
  <c r="K54" i="50"/>
  <c r="K46" i="50"/>
  <c r="K58" i="50"/>
  <c r="K45" i="50"/>
  <c r="K38" i="50"/>
  <c r="K55" i="50"/>
  <c r="K47" i="50"/>
  <c r="K41" i="50"/>
  <c r="K35" i="50"/>
  <c r="K44" i="50"/>
  <c r="K36" i="50"/>
  <c r="Q57" i="50"/>
  <c r="Q56" i="50"/>
  <c r="Q44" i="50"/>
  <c r="Q40" i="50"/>
  <c r="Q54" i="50"/>
  <c r="Q55" i="50"/>
  <c r="Q41" i="50"/>
  <c r="Q35" i="50"/>
  <c r="Q58" i="50"/>
  <c r="Q45" i="50"/>
  <c r="Q38" i="50"/>
  <c r="Q36" i="50"/>
  <c r="Q46" i="50"/>
  <c r="I56" i="50"/>
  <c r="I57" i="50"/>
  <c r="I112" i="51"/>
  <c r="I44" i="50"/>
  <c r="I36" i="50"/>
  <c r="I58" i="50"/>
  <c r="I46" i="50"/>
  <c r="I55" i="50"/>
  <c r="I47" i="50"/>
  <c r="I41" i="50"/>
  <c r="I35" i="50"/>
  <c r="I54" i="50"/>
  <c r="I40" i="50"/>
  <c r="I45" i="50"/>
  <c r="I38" i="50"/>
  <c r="R57" i="50"/>
  <c r="R56" i="50"/>
  <c r="R58" i="50"/>
  <c r="R45" i="50"/>
  <c r="R38" i="50"/>
  <c r="R55" i="50"/>
  <c r="R44" i="50"/>
  <c r="R36" i="50"/>
  <c r="R35" i="50"/>
  <c r="R40" i="50"/>
  <c r="R54" i="50"/>
  <c r="R46" i="50"/>
  <c r="R41" i="50"/>
  <c r="X56" i="50"/>
  <c r="X57" i="50"/>
  <c r="X55" i="50"/>
  <c r="X41" i="50"/>
  <c r="X36" i="50"/>
  <c r="X35" i="50"/>
  <c r="X58" i="50"/>
  <c r="X54" i="50"/>
  <c r="X46" i="50"/>
  <c r="X44" i="50"/>
  <c r="X40" i="50"/>
  <c r="X45" i="50"/>
  <c r="X38" i="50"/>
  <c r="V57" i="50"/>
  <c r="V56" i="50"/>
  <c r="V40" i="50"/>
  <c r="V54" i="50"/>
  <c r="V46" i="50"/>
  <c r="V36" i="50"/>
  <c r="V45" i="50"/>
  <c r="V38" i="50"/>
  <c r="V58" i="50"/>
  <c r="V55" i="50"/>
  <c r="V41" i="50"/>
  <c r="V35" i="50"/>
  <c r="V44" i="50"/>
  <c r="G57" i="50"/>
  <c r="G56" i="50"/>
  <c r="G112" i="51"/>
  <c r="G55" i="50"/>
  <c r="G47" i="50"/>
  <c r="G41" i="50"/>
  <c r="G35" i="50"/>
  <c r="G58" i="50"/>
  <c r="G45" i="50"/>
  <c r="G54" i="50"/>
  <c r="G46" i="50"/>
  <c r="G38" i="50"/>
  <c r="G40" i="50"/>
  <c r="G44" i="50"/>
  <c r="G36" i="50"/>
  <c r="N56" i="50"/>
  <c r="N57" i="50"/>
  <c r="N54" i="50"/>
  <c r="N46" i="50"/>
  <c r="N58" i="50"/>
  <c r="N45" i="50"/>
  <c r="N38" i="50"/>
  <c r="N40" i="50"/>
  <c r="N44" i="50"/>
  <c r="N55" i="50"/>
  <c r="N41" i="50"/>
  <c r="N36" i="50"/>
  <c r="N35" i="50"/>
  <c r="O56" i="50"/>
  <c r="O57" i="50"/>
  <c r="O55" i="50"/>
  <c r="O41" i="50"/>
  <c r="O35" i="50"/>
  <c r="O40" i="50"/>
  <c r="O54" i="50"/>
  <c r="O46" i="50"/>
  <c r="O45" i="50"/>
  <c r="O58" i="50"/>
  <c r="O44" i="50"/>
  <c r="O36" i="50"/>
  <c r="O38" i="50"/>
  <c r="W56" i="50"/>
  <c r="W57" i="50"/>
  <c r="W54" i="50"/>
  <c r="W46" i="50"/>
  <c r="W35" i="50"/>
  <c r="W40" i="50"/>
  <c r="W36" i="50"/>
  <c r="W58" i="50"/>
  <c r="W45" i="50"/>
  <c r="W38" i="50"/>
  <c r="W55" i="50"/>
  <c r="W41" i="50"/>
  <c r="W44" i="50"/>
  <c r="J56" i="50"/>
  <c r="J57" i="50"/>
  <c r="J112" i="51"/>
  <c r="J45" i="50"/>
  <c r="J38" i="50"/>
  <c r="J55" i="50"/>
  <c r="J41" i="50"/>
  <c r="J44" i="50"/>
  <c r="J36" i="50"/>
  <c r="J40" i="50"/>
  <c r="J35" i="50"/>
  <c r="J58" i="50"/>
  <c r="J54" i="50"/>
  <c r="J46" i="50"/>
  <c r="J47" i="50"/>
  <c r="T56" i="50"/>
  <c r="T57" i="50"/>
  <c r="T82" i="50" s="1"/>
  <c r="T44" i="50"/>
  <c r="T36" i="50"/>
  <c r="T40" i="50"/>
  <c r="T55" i="50"/>
  <c r="T41" i="50"/>
  <c r="T58" i="50"/>
  <c r="T54" i="50"/>
  <c r="T46" i="50"/>
  <c r="T45" i="50"/>
  <c r="T38" i="50"/>
  <c r="T35" i="50"/>
  <c r="M57" i="50"/>
  <c r="M82" i="50" s="1"/>
  <c r="M56" i="50"/>
  <c r="M45" i="50"/>
  <c r="M38" i="50"/>
  <c r="M44" i="50"/>
  <c r="M36" i="50"/>
  <c r="M35" i="50"/>
  <c r="M41" i="50"/>
  <c r="M54" i="50"/>
  <c r="M46" i="50"/>
  <c r="M40" i="50"/>
  <c r="M55" i="50"/>
  <c r="M58" i="50"/>
  <c r="P57" i="50"/>
  <c r="P56" i="50"/>
  <c r="P55" i="50"/>
  <c r="P41" i="50"/>
  <c r="P54" i="50"/>
  <c r="P46" i="50"/>
  <c r="P40" i="50"/>
  <c r="P45" i="50"/>
  <c r="P44" i="50"/>
  <c r="P36" i="50"/>
  <c r="P35" i="50"/>
  <c r="P58" i="50"/>
  <c r="P38" i="50"/>
  <c r="F84" i="41"/>
  <c r="F89" i="41" s="1"/>
  <c r="T129" i="50"/>
  <c r="I78" i="41"/>
  <c r="I82" i="41"/>
  <c r="I87" i="41" s="1"/>
  <c r="F78" i="41"/>
  <c r="M114" i="50" s="1"/>
  <c r="G78" i="41"/>
  <c r="F77" i="41"/>
  <c r="F114" i="50" s="1"/>
  <c r="G77" i="41"/>
  <c r="J78" i="41"/>
  <c r="I79" i="41"/>
  <c r="H77" i="41"/>
  <c r="P82" i="41" s="1"/>
  <c r="N89" i="41"/>
  <c r="K79" i="41"/>
  <c r="K77" i="41"/>
  <c r="K83" i="41"/>
  <c r="K88" i="41" s="1"/>
  <c r="H84" i="41"/>
  <c r="H89" i="41" s="1"/>
  <c r="J84" i="41"/>
  <c r="J89" i="41" s="1"/>
  <c r="J77" i="41"/>
  <c r="H78" i="41"/>
  <c r="E83" i="41"/>
  <c r="E88" i="41" s="1"/>
  <c r="T33" i="50"/>
  <c r="T29" i="50"/>
  <c r="T23" i="50"/>
  <c r="T19" i="50"/>
  <c r="T15" i="50"/>
  <c r="T30" i="50"/>
  <c r="T22" i="50"/>
  <c r="T10" i="50"/>
  <c r="T32" i="50"/>
  <c r="T24" i="50"/>
  <c r="T11" i="50"/>
  <c r="T16" i="50"/>
  <c r="T31" i="50"/>
  <c r="T21" i="50"/>
  <c r="T13" i="50"/>
  <c r="T20" i="50"/>
  <c r="J257" i="50"/>
  <c r="R235" i="50"/>
  <c r="R258" i="50"/>
  <c r="R257" i="50" s="1"/>
  <c r="Y258" i="50"/>
  <c r="Q257" i="50"/>
  <c r="K235" i="50"/>
  <c r="K258" i="50"/>
  <c r="K257" i="50" s="1"/>
  <c r="M97" i="41" l="1"/>
  <c r="U14" i="50"/>
  <c r="N78" i="50"/>
  <c r="O78" i="50" s="1"/>
  <c r="P78" i="50" s="1"/>
  <c r="Q78" i="50" s="1"/>
  <c r="R78" i="50" s="1"/>
  <c r="O64" i="50"/>
  <c r="P64" i="50" s="1"/>
  <c r="Q64" i="50" s="1"/>
  <c r="R64" i="50" s="1"/>
  <c r="I130" i="50"/>
  <c r="H130" i="50"/>
  <c r="K130" i="50"/>
  <c r="G130" i="50"/>
  <c r="J130" i="50"/>
  <c r="V13" i="7"/>
  <c r="U114" i="50"/>
  <c r="V114" i="50" s="1"/>
  <c r="U67" i="50"/>
  <c r="V67" i="50" s="1"/>
  <c r="W67" i="50" s="1"/>
  <c r="X67" i="50" s="1"/>
  <c r="Y67" i="50" s="1"/>
  <c r="N114" i="50"/>
  <c r="M174" i="50"/>
  <c r="G114" i="50"/>
  <c r="F174" i="50"/>
  <c r="U64" i="50"/>
  <c r="V64" i="50" s="1"/>
  <c r="W64" i="50" s="1"/>
  <c r="X64" i="50" s="1"/>
  <c r="Y64" i="50" s="1"/>
  <c r="H67" i="50"/>
  <c r="I67" i="50" s="1"/>
  <c r="J67" i="50" s="1"/>
  <c r="K67" i="50" s="1"/>
  <c r="N159" i="50"/>
  <c r="O159" i="50" s="1"/>
  <c r="P159" i="50" s="1"/>
  <c r="Q159" i="50" s="1"/>
  <c r="R159" i="50" s="1"/>
  <c r="U17" i="50"/>
  <c r="T92" i="50"/>
  <c r="F14" i="50"/>
  <c r="F89" i="50" s="1"/>
  <c r="F17" i="50"/>
  <c r="M14" i="50"/>
  <c r="N14" i="50" s="1"/>
  <c r="M17" i="50"/>
  <c r="T89" i="50"/>
  <c r="N67" i="50"/>
  <c r="O67" i="50" s="1"/>
  <c r="P67" i="50" s="1"/>
  <c r="Q67" i="50" s="1"/>
  <c r="R67" i="50" s="1"/>
  <c r="H64" i="50"/>
  <c r="I64" i="50" s="1"/>
  <c r="J64" i="50" s="1"/>
  <c r="K64" i="50" s="1"/>
  <c r="T13" i="7"/>
  <c r="V14" i="50"/>
  <c r="Q13" i="7"/>
  <c r="Q26" i="7"/>
  <c r="F15" i="7"/>
  <c r="W91" i="41"/>
  <c r="M84" i="41"/>
  <c r="M89" i="41" s="1"/>
  <c r="M98" i="41" s="1"/>
  <c r="Q17" i="7" s="1"/>
  <c r="Q28" i="7" s="1"/>
  <c r="Q32" i="7" s="1"/>
  <c r="E94" i="41"/>
  <c r="Q9" i="7" s="1"/>
  <c r="T84" i="41"/>
  <c r="T89" i="41" s="1"/>
  <c r="T98" i="41" s="1"/>
  <c r="Q18" i="7" s="1"/>
  <c r="Q21" i="7" s="1"/>
  <c r="E84" i="41"/>
  <c r="E89" i="41" s="1"/>
  <c r="E86" i="41" s="1"/>
  <c r="N91" i="41"/>
  <c r="D14" i="7"/>
  <c r="D13" i="7" s="1"/>
  <c r="Y91" i="41"/>
  <c r="C13" i="7"/>
  <c r="C26" i="7"/>
  <c r="J13" i="7"/>
  <c r="J26" i="7"/>
  <c r="Q91" i="41"/>
  <c r="G14" i="7"/>
  <c r="G13" i="7" s="1"/>
  <c r="E14" i="7"/>
  <c r="E13" i="7" s="1"/>
  <c r="O91" i="41"/>
  <c r="M82" i="41"/>
  <c r="M87" i="41" s="1"/>
  <c r="M96" i="41" s="1"/>
  <c r="T82" i="41"/>
  <c r="T87" i="41" s="1"/>
  <c r="E92" i="41"/>
  <c r="C9" i="7" s="1"/>
  <c r="F14" i="7"/>
  <c r="F13" i="7" s="1"/>
  <c r="P91" i="41"/>
  <c r="R91" i="41"/>
  <c r="H14" i="7"/>
  <c r="H13" i="7" s="1"/>
  <c r="M91" i="41"/>
  <c r="U159" i="50"/>
  <c r="V159" i="50" s="1"/>
  <c r="W159" i="50" s="1"/>
  <c r="X159" i="50" s="1"/>
  <c r="Y159" i="50" s="1"/>
  <c r="U76" i="50"/>
  <c r="V76" i="50" s="1"/>
  <c r="W76" i="50" s="1"/>
  <c r="X76" i="50" s="1"/>
  <c r="Y76" i="50" s="1"/>
  <c r="H76" i="50"/>
  <c r="I76" i="50" s="1"/>
  <c r="J76" i="50" s="1"/>
  <c r="K76" i="50" s="1"/>
  <c r="H74" i="50"/>
  <c r="I74" i="50" s="1"/>
  <c r="J74" i="50" s="1"/>
  <c r="K74" i="50" s="1"/>
  <c r="H159" i="50"/>
  <c r="I159" i="50" s="1"/>
  <c r="J159" i="50" s="1"/>
  <c r="K159" i="50" s="1"/>
  <c r="M27" i="50"/>
  <c r="M25" i="50"/>
  <c r="M24" i="50"/>
  <c r="M26" i="50"/>
  <c r="M28" i="50"/>
  <c r="M119" i="50"/>
  <c r="U25" i="50"/>
  <c r="T100" i="50"/>
  <c r="F26" i="50"/>
  <c r="F24" i="50"/>
  <c r="F28" i="50"/>
  <c r="F27" i="50"/>
  <c r="F29" i="50"/>
  <c r="F25" i="50"/>
  <c r="F118" i="50"/>
  <c r="F119" i="50"/>
  <c r="H75" i="50"/>
  <c r="I75" i="50" s="1"/>
  <c r="J75" i="50" s="1"/>
  <c r="K75" i="50" s="1"/>
  <c r="U27" i="50"/>
  <c r="T102" i="50"/>
  <c r="N77" i="50"/>
  <c r="O77" i="50" s="1"/>
  <c r="P77" i="50" s="1"/>
  <c r="Q77" i="50" s="1"/>
  <c r="R77" i="50" s="1"/>
  <c r="P76" i="50"/>
  <c r="Q76" i="50" s="1"/>
  <c r="R76" i="50" s="1"/>
  <c r="U78" i="50"/>
  <c r="V78" i="50" s="1"/>
  <c r="W78" i="50" s="1"/>
  <c r="X78" i="50" s="1"/>
  <c r="Y78" i="50" s="1"/>
  <c r="U77" i="50"/>
  <c r="V77" i="50" s="1"/>
  <c r="W77" i="50" s="1"/>
  <c r="X77" i="50" s="1"/>
  <c r="Y77" i="50" s="1"/>
  <c r="U26" i="50"/>
  <c r="T101" i="50"/>
  <c r="N75" i="50"/>
  <c r="O75" i="50" s="1"/>
  <c r="P75" i="50" s="1"/>
  <c r="Q75" i="50" s="1"/>
  <c r="R75" i="50" s="1"/>
  <c r="U75" i="50"/>
  <c r="V75" i="50" s="1"/>
  <c r="W75" i="50" s="1"/>
  <c r="X75" i="50" s="1"/>
  <c r="Y75" i="50" s="1"/>
  <c r="U119" i="50"/>
  <c r="T179" i="50"/>
  <c r="U28" i="50"/>
  <c r="T103" i="50"/>
  <c r="C8" i="7"/>
  <c r="J17" i="7"/>
  <c r="J9" i="7"/>
  <c r="J8" i="7"/>
  <c r="E97" i="41"/>
  <c r="J92" i="41"/>
  <c r="Y82" i="41"/>
  <c r="Y87" i="41" s="1"/>
  <c r="R82" i="41"/>
  <c r="R87" i="41" s="1"/>
  <c r="W82" i="41"/>
  <c r="W87" i="41" s="1"/>
  <c r="H92" i="41"/>
  <c r="V82" i="41"/>
  <c r="V87" i="41" s="1"/>
  <c r="V96" i="41" s="1"/>
  <c r="E18" i="7" s="1"/>
  <c r="O82" i="41"/>
  <c r="O87" i="41" s="1"/>
  <c r="G92" i="41"/>
  <c r="Z84" i="41"/>
  <c r="Z89" i="41" s="1"/>
  <c r="S84" i="41"/>
  <c r="S89" i="41" s="1"/>
  <c r="S98" i="41" s="1"/>
  <c r="W17" i="7" s="1"/>
  <c r="K94" i="41"/>
  <c r="W9" i="7" s="1"/>
  <c r="X84" i="41"/>
  <c r="X89" i="41" s="1"/>
  <c r="X98" i="41" s="1"/>
  <c r="U18" i="7" s="1"/>
  <c r="U21" i="7" s="1"/>
  <c r="I94" i="41"/>
  <c r="U9" i="7" s="1"/>
  <c r="Q84" i="41"/>
  <c r="Q89" i="41" s="1"/>
  <c r="Q98" i="41" s="1"/>
  <c r="U17" i="7" s="1"/>
  <c r="F92" i="41"/>
  <c r="U82" i="41"/>
  <c r="U87" i="41" s="1"/>
  <c r="U96" i="41" s="1"/>
  <c r="D18" i="7" s="1"/>
  <c r="D21" i="7" s="1"/>
  <c r="N82" i="41"/>
  <c r="N87" i="41" s="1"/>
  <c r="N96" i="41" s="1"/>
  <c r="G19" i="49"/>
  <c r="G8" i="7"/>
  <c r="I96" i="41"/>
  <c r="G10" i="7" s="1"/>
  <c r="R19" i="49"/>
  <c r="R8" i="7"/>
  <c r="F98" i="41"/>
  <c r="R10" i="7" s="1"/>
  <c r="V19" i="49"/>
  <c r="V8" i="7"/>
  <c r="J98" i="41"/>
  <c r="V10" i="7" s="1"/>
  <c r="T19" i="49"/>
  <c r="H98" i="41"/>
  <c r="T10" i="7" s="1"/>
  <c r="T8" i="7"/>
  <c r="P19" i="49"/>
  <c r="P8" i="7"/>
  <c r="K97" i="41"/>
  <c r="P10" i="7" s="1"/>
  <c r="Y83" i="41"/>
  <c r="Y88" i="41" s="1"/>
  <c r="Y97" i="41" s="1"/>
  <c r="O18" i="7" s="1"/>
  <c r="O21" i="7" s="1"/>
  <c r="J93" i="41"/>
  <c r="O9" i="7" s="1"/>
  <c r="R83" i="41"/>
  <c r="R88" i="41" s="1"/>
  <c r="O83" i="41"/>
  <c r="O88" i="41" s="1"/>
  <c r="V83" i="41"/>
  <c r="V88" i="41" s="1"/>
  <c r="G93" i="41"/>
  <c r="X83" i="41"/>
  <c r="X88" i="41" s="1"/>
  <c r="I93" i="41"/>
  <c r="N9" i="7" s="1"/>
  <c r="Q83" i="41"/>
  <c r="Q88" i="41" s="1"/>
  <c r="G9" i="7"/>
  <c r="H93" i="41"/>
  <c r="M9" i="7" s="1"/>
  <c r="W83" i="41"/>
  <c r="W88" i="41" s="1"/>
  <c r="P83" i="41"/>
  <c r="P88" i="41" s="1"/>
  <c r="Z82" i="41"/>
  <c r="Z87" i="41" s="1"/>
  <c r="S82" i="41"/>
  <c r="S87" i="41" s="1"/>
  <c r="S96" i="41" s="1"/>
  <c r="I17" i="7" s="1"/>
  <c r="K92" i="41"/>
  <c r="M15" i="50"/>
  <c r="N15" i="50" s="1"/>
  <c r="O15" i="50" s="1"/>
  <c r="U83" i="41"/>
  <c r="U88" i="41" s="1"/>
  <c r="U97" i="41" s="1"/>
  <c r="K18" i="7" s="1"/>
  <c r="K21" i="7" s="1"/>
  <c r="N83" i="41"/>
  <c r="N88" i="41" s="1"/>
  <c r="N97" i="41" s="1"/>
  <c r="K17" i="7" s="1"/>
  <c r="F93" i="41"/>
  <c r="K9" i="7" s="1"/>
  <c r="V84" i="41"/>
  <c r="V89" i="41" s="1"/>
  <c r="G94" i="41"/>
  <c r="O84" i="41"/>
  <c r="O89" i="41" s="1"/>
  <c r="O98" i="41" s="1"/>
  <c r="S17" i="7" s="1"/>
  <c r="D27" i="7"/>
  <c r="D55" i="53"/>
  <c r="W98" i="41"/>
  <c r="T18" i="7" s="1"/>
  <c r="T21" i="7" s="1"/>
  <c r="Z97" i="41"/>
  <c r="P18" i="7" s="1"/>
  <c r="P21" i="7" s="1"/>
  <c r="N98" i="41"/>
  <c r="R17" i="7" s="1"/>
  <c r="P98" i="41"/>
  <c r="T17" i="7" s="1"/>
  <c r="G84" i="41"/>
  <c r="G89" i="41" s="1"/>
  <c r="U15" i="50"/>
  <c r="V15" i="50" s="1"/>
  <c r="R89" i="41"/>
  <c r="U122" i="50"/>
  <c r="V122" i="50" s="1"/>
  <c r="W122" i="50" s="1"/>
  <c r="X122" i="50" s="1"/>
  <c r="Y122" i="50" s="1"/>
  <c r="U121" i="50"/>
  <c r="V121" i="50" s="1"/>
  <c r="W121" i="50" s="1"/>
  <c r="X121" i="50" s="1"/>
  <c r="Y121" i="50" s="1"/>
  <c r="U111" i="50"/>
  <c r="V111" i="50" s="1"/>
  <c r="W111" i="50" s="1"/>
  <c r="X111" i="50" s="1"/>
  <c r="Y111" i="50" s="1"/>
  <c r="U124" i="50"/>
  <c r="V124" i="50" s="1"/>
  <c r="W124" i="50" s="1"/>
  <c r="X124" i="50" s="1"/>
  <c r="Y124" i="50" s="1"/>
  <c r="U125" i="50"/>
  <c r="V125" i="50" s="1"/>
  <c r="W125" i="50" s="1"/>
  <c r="X125" i="50" s="1"/>
  <c r="Y125" i="50" s="1"/>
  <c r="U126" i="50"/>
  <c r="V126" i="50" s="1"/>
  <c r="W126" i="50" s="1"/>
  <c r="X126" i="50" s="1"/>
  <c r="Y126" i="50" s="1"/>
  <c r="U128" i="50"/>
  <c r="V128" i="50" s="1"/>
  <c r="W128" i="50" s="1"/>
  <c r="X128" i="50" s="1"/>
  <c r="Y128" i="50" s="1"/>
  <c r="U116" i="50"/>
  <c r="V116" i="50" s="1"/>
  <c r="W116" i="50" s="1"/>
  <c r="X116" i="50" s="1"/>
  <c r="Y116" i="50" s="1"/>
  <c r="U113" i="50"/>
  <c r="V113" i="50" s="1"/>
  <c r="W113" i="50" s="1"/>
  <c r="X113" i="50" s="1"/>
  <c r="Y113" i="50" s="1"/>
  <c r="U117" i="50"/>
  <c r="V117" i="50" s="1"/>
  <c r="W117" i="50" s="1"/>
  <c r="X117" i="50" s="1"/>
  <c r="Y117" i="50" s="1"/>
  <c r="U112" i="50"/>
  <c r="V112" i="50" s="1"/>
  <c r="W112" i="50" s="1"/>
  <c r="X112" i="50" s="1"/>
  <c r="Y112" i="50" s="1"/>
  <c r="U127" i="50"/>
  <c r="V127" i="50" s="1"/>
  <c r="W127" i="50" s="1"/>
  <c r="X127" i="50" s="1"/>
  <c r="Y127" i="50" s="1"/>
  <c r="G83" i="41"/>
  <c r="L78" i="41"/>
  <c r="Q87" i="41"/>
  <c r="L77" i="41"/>
  <c r="L79" i="41"/>
  <c r="H158" i="50"/>
  <c r="I158" i="50" s="1"/>
  <c r="T130" i="50"/>
  <c r="Y130" i="50"/>
  <c r="W130" i="50"/>
  <c r="W118" i="50"/>
  <c r="X118" i="50" s="1"/>
  <c r="Y118" i="50" s="1"/>
  <c r="W123" i="50"/>
  <c r="X123" i="50" s="1"/>
  <c r="Y123" i="50" s="1"/>
  <c r="W120" i="50"/>
  <c r="X120" i="50" s="1"/>
  <c r="Y120" i="50" s="1"/>
  <c r="W115" i="50"/>
  <c r="X115" i="50" s="1"/>
  <c r="Y115" i="50" s="1"/>
  <c r="G151" i="50"/>
  <c r="H151" i="50" s="1"/>
  <c r="X130" i="50"/>
  <c r="V130" i="50"/>
  <c r="U130" i="50"/>
  <c r="F116" i="50"/>
  <c r="F117" i="50"/>
  <c r="F125" i="50"/>
  <c r="F111" i="50"/>
  <c r="G111" i="50" s="1"/>
  <c r="F112" i="50"/>
  <c r="F126" i="50"/>
  <c r="F123" i="50"/>
  <c r="F127" i="50"/>
  <c r="F120" i="50"/>
  <c r="F122" i="50"/>
  <c r="F115" i="50"/>
  <c r="F124" i="50"/>
  <c r="F128" i="50"/>
  <c r="F121" i="50"/>
  <c r="F113" i="50"/>
  <c r="M116" i="50"/>
  <c r="N116" i="50" s="1"/>
  <c r="O116" i="50" s="1"/>
  <c r="P116" i="50" s="1"/>
  <c r="Q116" i="50" s="1"/>
  <c r="R116" i="50" s="1"/>
  <c r="M120" i="50"/>
  <c r="N120" i="50" s="1"/>
  <c r="O120" i="50" s="1"/>
  <c r="P120" i="50" s="1"/>
  <c r="Q120" i="50" s="1"/>
  <c r="R120" i="50" s="1"/>
  <c r="M123" i="50"/>
  <c r="N123" i="50" s="1"/>
  <c r="O123" i="50" s="1"/>
  <c r="P123" i="50" s="1"/>
  <c r="Q123" i="50" s="1"/>
  <c r="R123" i="50" s="1"/>
  <c r="M122" i="50"/>
  <c r="N122" i="50" s="1"/>
  <c r="O122" i="50" s="1"/>
  <c r="P122" i="50" s="1"/>
  <c r="Q122" i="50" s="1"/>
  <c r="R122" i="50" s="1"/>
  <c r="M128" i="50"/>
  <c r="N128" i="50" s="1"/>
  <c r="O128" i="50" s="1"/>
  <c r="P128" i="50" s="1"/>
  <c r="Q128" i="50" s="1"/>
  <c r="R128" i="50" s="1"/>
  <c r="M127" i="50"/>
  <c r="N127" i="50" s="1"/>
  <c r="O127" i="50" s="1"/>
  <c r="P127" i="50" s="1"/>
  <c r="Q127" i="50" s="1"/>
  <c r="R127" i="50" s="1"/>
  <c r="M117" i="50"/>
  <c r="N117" i="50" s="1"/>
  <c r="O117" i="50" s="1"/>
  <c r="P117" i="50" s="1"/>
  <c r="Q117" i="50" s="1"/>
  <c r="R117" i="50" s="1"/>
  <c r="M124" i="50"/>
  <c r="N124" i="50" s="1"/>
  <c r="O124" i="50" s="1"/>
  <c r="P124" i="50" s="1"/>
  <c r="Q124" i="50" s="1"/>
  <c r="R124" i="50" s="1"/>
  <c r="M112" i="50"/>
  <c r="N112" i="50" s="1"/>
  <c r="O112" i="50" s="1"/>
  <c r="P112" i="50" s="1"/>
  <c r="Q112" i="50" s="1"/>
  <c r="R112" i="50" s="1"/>
  <c r="M125" i="50"/>
  <c r="N125" i="50" s="1"/>
  <c r="O125" i="50" s="1"/>
  <c r="P125" i="50" s="1"/>
  <c r="Q125" i="50" s="1"/>
  <c r="R125" i="50" s="1"/>
  <c r="M126" i="50"/>
  <c r="N126" i="50" s="1"/>
  <c r="O126" i="50" s="1"/>
  <c r="P126" i="50" s="1"/>
  <c r="Q126" i="50" s="1"/>
  <c r="R126" i="50" s="1"/>
  <c r="M111" i="50"/>
  <c r="N111" i="50" s="1"/>
  <c r="O111" i="50" s="1"/>
  <c r="P111" i="50" s="1"/>
  <c r="Q111" i="50" s="1"/>
  <c r="R111" i="50" s="1"/>
  <c r="M115" i="50"/>
  <c r="N115" i="50" s="1"/>
  <c r="O115" i="50" s="1"/>
  <c r="P115" i="50" s="1"/>
  <c r="Q115" i="50" s="1"/>
  <c r="R115" i="50" s="1"/>
  <c r="M121" i="50"/>
  <c r="N121" i="50" s="1"/>
  <c r="O121" i="50" s="1"/>
  <c r="P121" i="50" s="1"/>
  <c r="Q121" i="50" s="1"/>
  <c r="R121" i="50" s="1"/>
  <c r="M113" i="50"/>
  <c r="N113" i="50" s="1"/>
  <c r="O113" i="50" s="1"/>
  <c r="P113" i="50" s="1"/>
  <c r="Q113" i="50" s="1"/>
  <c r="R113" i="50" s="1"/>
  <c r="M118" i="50"/>
  <c r="N118" i="50" s="1"/>
  <c r="O118" i="50" s="1"/>
  <c r="P118" i="50" s="1"/>
  <c r="Q118" i="50" s="1"/>
  <c r="R118" i="50" s="1"/>
  <c r="H165" i="50"/>
  <c r="H161" i="50"/>
  <c r="H168" i="50"/>
  <c r="H162" i="50"/>
  <c r="H166" i="50"/>
  <c r="H152" i="50"/>
  <c r="H156" i="50"/>
  <c r="H155" i="50"/>
  <c r="H163" i="50"/>
  <c r="H160" i="50"/>
  <c r="H153" i="50"/>
  <c r="T173" i="50"/>
  <c r="U153" i="50"/>
  <c r="T182" i="50"/>
  <c r="U162" i="50"/>
  <c r="T183" i="50"/>
  <c r="U163" i="50"/>
  <c r="U167" i="50"/>
  <c r="T187" i="50"/>
  <c r="T184" i="50"/>
  <c r="U164" i="50"/>
  <c r="U161" i="50"/>
  <c r="T181" i="50"/>
  <c r="T172" i="50"/>
  <c r="U152" i="50"/>
  <c r="H164" i="50"/>
  <c r="H157" i="50"/>
  <c r="H167" i="50"/>
  <c r="T178" i="50"/>
  <c r="U158" i="50"/>
  <c r="T180" i="50"/>
  <c r="U160" i="50"/>
  <c r="T186" i="50"/>
  <c r="U166" i="50"/>
  <c r="T185" i="50"/>
  <c r="U165" i="50"/>
  <c r="U151" i="50"/>
  <c r="T171" i="50"/>
  <c r="T188" i="50"/>
  <c r="U168" i="50"/>
  <c r="U156" i="50"/>
  <c r="T176" i="50"/>
  <c r="T177" i="50"/>
  <c r="U157" i="50"/>
  <c r="U155" i="50"/>
  <c r="T175" i="50"/>
  <c r="F10" i="50"/>
  <c r="G10" i="50" s="1"/>
  <c r="F169" i="50"/>
  <c r="F150" i="50" s="1"/>
  <c r="N153" i="50"/>
  <c r="N168" i="50"/>
  <c r="N155" i="50"/>
  <c r="N156" i="50"/>
  <c r="N157" i="50"/>
  <c r="F20" i="50"/>
  <c r="G20" i="50" s="1"/>
  <c r="F11" i="50"/>
  <c r="G11" i="50" s="1"/>
  <c r="F82" i="41"/>
  <c r="F87" i="41" s="1"/>
  <c r="F129" i="50"/>
  <c r="M129" i="50"/>
  <c r="U129" i="50"/>
  <c r="T110" i="50"/>
  <c r="U89" i="41"/>
  <c r="R12" i="49"/>
  <c r="U169" i="50"/>
  <c r="T189" i="50"/>
  <c r="T150" i="50"/>
  <c r="M10" i="50"/>
  <c r="N10" i="50" s="1"/>
  <c r="O10" i="50" s="1"/>
  <c r="F19" i="50"/>
  <c r="G19" i="50" s="1"/>
  <c r="F33" i="50"/>
  <c r="G33" i="50" s="1"/>
  <c r="F21" i="50"/>
  <c r="G21" i="50" s="1"/>
  <c r="P87" i="41"/>
  <c r="M31" i="50"/>
  <c r="N130" i="50"/>
  <c r="I83" i="41"/>
  <c r="I88" i="41" s="1"/>
  <c r="F22" i="50"/>
  <c r="F31" i="50"/>
  <c r="M33" i="50"/>
  <c r="N33" i="50" s="1"/>
  <c r="O33" i="50" s="1"/>
  <c r="M11" i="50"/>
  <c r="N11" i="50" s="1"/>
  <c r="O11" i="50" s="1"/>
  <c r="I84" i="41"/>
  <c r="I89" i="41" s="1"/>
  <c r="F23" i="50"/>
  <c r="F16" i="50"/>
  <c r="G16" i="50" s="1"/>
  <c r="M21" i="50"/>
  <c r="N21" i="50" s="1"/>
  <c r="O21" i="50" s="1"/>
  <c r="M30" i="50"/>
  <c r="H82" i="41"/>
  <c r="H87" i="41" s="1"/>
  <c r="F83" i="41"/>
  <c r="F88" i="41" s="1"/>
  <c r="M29" i="50"/>
  <c r="M22" i="50"/>
  <c r="M16" i="50"/>
  <c r="N16" i="50" s="1"/>
  <c r="O16" i="50" s="1"/>
  <c r="M19" i="50"/>
  <c r="M20" i="50"/>
  <c r="N20" i="50" s="1"/>
  <c r="O20" i="50" s="1"/>
  <c r="F15" i="50"/>
  <c r="G15" i="50" s="1"/>
  <c r="F13" i="50"/>
  <c r="F30" i="50"/>
  <c r="F32" i="50"/>
  <c r="G32" i="50" s="1"/>
  <c r="M23" i="50"/>
  <c r="M13" i="50"/>
  <c r="M32" i="50"/>
  <c r="N32" i="50" s="1"/>
  <c r="O32" i="50" s="1"/>
  <c r="J83" i="41"/>
  <c r="J88" i="41" s="1"/>
  <c r="G82" i="41"/>
  <c r="K82" i="41"/>
  <c r="K87" i="41" s="1"/>
  <c r="Y89" i="41"/>
  <c r="K84" i="41"/>
  <c r="K89" i="41" s="1"/>
  <c r="O130" i="50"/>
  <c r="M81" i="50"/>
  <c r="M80" i="50"/>
  <c r="M83" i="50"/>
  <c r="M72" i="50"/>
  <c r="M65" i="50"/>
  <c r="M71" i="50"/>
  <c r="M66" i="50"/>
  <c r="M79" i="50"/>
  <c r="M70" i="50"/>
  <c r="M73" i="50"/>
  <c r="M61" i="50"/>
  <c r="M60" i="50"/>
  <c r="F81" i="50"/>
  <c r="F78" i="50"/>
  <c r="F72" i="50"/>
  <c r="G72" i="50" s="1"/>
  <c r="F69" i="50"/>
  <c r="F60" i="50"/>
  <c r="F65" i="50"/>
  <c r="F61" i="50"/>
  <c r="F70" i="50"/>
  <c r="F73" i="50"/>
  <c r="F71" i="50"/>
  <c r="F80" i="50"/>
  <c r="F63" i="50"/>
  <c r="F83" i="50"/>
  <c r="F66" i="50"/>
  <c r="G66" i="50" s="1"/>
  <c r="S88" i="41"/>
  <c r="T88" i="41"/>
  <c r="H83" i="41"/>
  <c r="H88" i="41" s="1"/>
  <c r="T81" i="50"/>
  <c r="T65" i="50"/>
  <c r="T90" i="50" s="1"/>
  <c r="T72" i="50"/>
  <c r="T97" i="50" s="1"/>
  <c r="T61" i="50"/>
  <c r="T86" i="50" s="1"/>
  <c r="T69" i="50"/>
  <c r="T94" i="50" s="1"/>
  <c r="T60" i="50"/>
  <c r="T83" i="50"/>
  <c r="T108" i="50" s="1"/>
  <c r="T80" i="50"/>
  <c r="U80" i="50" s="1"/>
  <c r="J82" i="41"/>
  <c r="J87" i="41" s="1"/>
  <c r="X87" i="41"/>
  <c r="N152" i="50"/>
  <c r="N163" i="50"/>
  <c r="U23" i="50"/>
  <c r="N160" i="50"/>
  <c r="U29" i="50"/>
  <c r="Q130" i="50"/>
  <c r="N167" i="50"/>
  <c r="N164" i="50"/>
  <c r="M151" i="50"/>
  <c r="M130" i="50"/>
  <c r="K27" i="7" s="1"/>
  <c r="U20" i="50"/>
  <c r="U31" i="50"/>
  <c r="U11" i="50"/>
  <c r="U24" i="50"/>
  <c r="U10" i="50"/>
  <c r="U33" i="50"/>
  <c r="N162" i="50"/>
  <c r="N166" i="50"/>
  <c r="U13" i="50"/>
  <c r="T12" i="50"/>
  <c r="U16" i="50"/>
  <c r="U22" i="50"/>
  <c r="V22" i="50" s="1"/>
  <c r="W22" i="50" s="1"/>
  <c r="N165" i="50"/>
  <c r="U21" i="50"/>
  <c r="U30" i="50"/>
  <c r="N158" i="50"/>
  <c r="N161" i="50"/>
  <c r="N169" i="50"/>
  <c r="U32" i="50"/>
  <c r="U19" i="50"/>
  <c r="T18" i="50"/>
  <c r="E21" i="7" l="1"/>
  <c r="U174" i="50"/>
  <c r="G14" i="50"/>
  <c r="G89" i="50" s="1"/>
  <c r="O114" i="50"/>
  <c r="N174" i="50"/>
  <c r="U89" i="50"/>
  <c r="H114" i="50"/>
  <c r="G174" i="50"/>
  <c r="W114" i="50"/>
  <c r="V174" i="50"/>
  <c r="U105" i="50"/>
  <c r="N86" i="41"/>
  <c r="N68" i="41" s="1"/>
  <c r="E96" i="41"/>
  <c r="C10" i="7" s="1"/>
  <c r="M89" i="50"/>
  <c r="N17" i="50"/>
  <c r="M92" i="50"/>
  <c r="G17" i="50"/>
  <c r="F92" i="50"/>
  <c r="E91" i="41"/>
  <c r="V17" i="50"/>
  <c r="U92" i="50"/>
  <c r="G13" i="50"/>
  <c r="H13" i="50" s="1"/>
  <c r="F12" i="50"/>
  <c r="O14" i="50"/>
  <c r="N89" i="50"/>
  <c r="Q8" i="7"/>
  <c r="E98" i="41"/>
  <c r="Q10" i="7" s="1"/>
  <c r="W14" i="50"/>
  <c r="V89" i="50"/>
  <c r="T105" i="50"/>
  <c r="V28" i="50"/>
  <c r="U103" i="50"/>
  <c r="G25" i="50"/>
  <c r="F100" i="50"/>
  <c r="G24" i="50"/>
  <c r="F99" i="50"/>
  <c r="N119" i="50"/>
  <c r="M179" i="50"/>
  <c r="N25" i="50"/>
  <c r="M100" i="50"/>
  <c r="N22" i="50"/>
  <c r="M97" i="50"/>
  <c r="V26" i="50"/>
  <c r="U101" i="50"/>
  <c r="V27" i="50"/>
  <c r="U102" i="50"/>
  <c r="G29" i="50"/>
  <c r="F104" i="50"/>
  <c r="G26" i="50"/>
  <c r="F101" i="50"/>
  <c r="N28" i="50"/>
  <c r="M103" i="50"/>
  <c r="N27" i="50"/>
  <c r="M102" i="50"/>
  <c r="G23" i="50"/>
  <c r="H23" i="50" s="1"/>
  <c r="F98" i="50"/>
  <c r="V119" i="50"/>
  <c r="U179" i="50"/>
  <c r="G119" i="50"/>
  <c r="F179" i="50"/>
  <c r="G27" i="50"/>
  <c r="F102" i="50"/>
  <c r="N26" i="50"/>
  <c r="M101" i="50"/>
  <c r="N23" i="50"/>
  <c r="M98" i="50"/>
  <c r="N29" i="50"/>
  <c r="M104" i="50"/>
  <c r="G30" i="50"/>
  <c r="H30" i="50" s="1"/>
  <c r="F105" i="50"/>
  <c r="N30" i="50"/>
  <c r="M105" i="50"/>
  <c r="G22" i="50"/>
  <c r="G18" i="50" s="1"/>
  <c r="F97" i="50"/>
  <c r="M95" i="41"/>
  <c r="G28" i="50"/>
  <c r="F103" i="50"/>
  <c r="V25" i="50"/>
  <c r="U100" i="50"/>
  <c r="N24" i="50"/>
  <c r="M99" i="50"/>
  <c r="Q16" i="7"/>
  <c r="Q12" i="7" s="1"/>
  <c r="Q20" i="7" s="1"/>
  <c r="U16" i="7"/>
  <c r="U12" i="7" s="1"/>
  <c r="J10" i="7"/>
  <c r="J28" i="7"/>
  <c r="J32" i="7" s="1"/>
  <c r="T16" i="7"/>
  <c r="T12" i="7" s="1"/>
  <c r="T20" i="7" s="1"/>
  <c r="K16" i="7"/>
  <c r="K12" i="7" s="1"/>
  <c r="W19" i="49"/>
  <c r="W8" i="7"/>
  <c r="K98" i="41"/>
  <c r="W10" i="7" s="1"/>
  <c r="O19" i="49"/>
  <c r="J97" i="41"/>
  <c r="O10" i="7" s="1"/>
  <c r="O8" i="7"/>
  <c r="N8" i="7"/>
  <c r="I97" i="41"/>
  <c r="D8" i="7"/>
  <c r="F96" i="41"/>
  <c r="S19" i="49"/>
  <c r="S8" i="7"/>
  <c r="G98" i="41"/>
  <c r="K91" i="41"/>
  <c r="I9" i="7"/>
  <c r="L93" i="41"/>
  <c r="AA93" i="41" s="1"/>
  <c r="L9" i="7"/>
  <c r="M8" i="7"/>
  <c r="H97" i="41"/>
  <c r="M10" i="7" s="1"/>
  <c r="N95" i="41"/>
  <c r="D17" i="7"/>
  <c r="D16" i="7" s="1"/>
  <c r="D12" i="7" s="1"/>
  <c r="D20" i="7" s="1"/>
  <c r="S9" i="7"/>
  <c r="L94" i="41"/>
  <c r="AA94" i="41" s="1"/>
  <c r="H91" i="41"/>
  <c r="F9" i="7"/>
  <c r="U19" i="49"/>
  <c r="I98" i="41"/>
  <c r="U10" i="7" s="1"/>
  <c r="U8" i="7"/>
  <c r="I91" i="41"/>
  <c r="L92" i="41"/>
  <c r="AA92" i="41" s="1"/>
  <c r="G91" i="41"/>
  <c r="E9" i="7"/>
  <c r="H8" i="7"/>
  <c r="J96" i="41"/>
  <c r="K96" i="41"/>
  <c r="I8" i="7"/>
  <c r="F97" i="41"/>
  <c r="K10" i="7" s="1"/>
  <c r="K8" i="7"/>
  <c r="F8" i="7"/>
  <c r="H96" i="41"/>
  <c r="D9" i="7"/>
  <c r="F91" i="41"/>
  <c r="J91" i="41"/>
  <c r="H9" i="7"/>
  <c r="S55" i="53"/>
  <c r="S27" i="7"/>
  <c r="R27" i="7"/>
  <c r="R55" i="53"/>
  <c r="V55" i="53"/>
  <c r="V27" i="7"/>
  <c r="K55" i="53"/>
  <c r="O55" i="53"/>
  <c r="O27" i="7"/>
  <c r="M55" i="53"/>
  <c r="M27" i="7"/>
  <c r="I55" i="53"/>
  <c r="I27" i="7"/>
  <c r="W55" i="53"/>
  <c r="W27" i="7"/>
  <c r="G55" i="53"/>
  <c r="G27" i="7"/>
  <c r="L55" i="53"/>
  <c r="L27" i="7"/>
  <c r="F55" i="53"/>
  <c r="F27" i="7"/>
  <c r="U55" i="53"/>
  <c r="U27" i="7"/>
  <c r="T55" i="53"/>
  <c r="T27" i="7"/>
  <c r="H55" i="53"/>
  <c r="H27" i="7"/>
  <c r="E55" i="53"/>
  <c r="E27" i="7"/>
  <c r="Z98" i="41"/>
  <c r="X97" i="41"/>
  <c r="N18" i="7" s="1"/>
  <c r="N21" i="7" s="1"/>
  <c r="V97" i="41"/>
  <c r="L18" i="7" s="1"/>
  <c r="L21" i="7" s="1"/>
  <c r="Z96" i="41"/>
  <c r="I18" i="7" s="1"/>
  <c r="W96" i="41"/>
  <c r="F18" i="7" s="1"/>
  <c r="F21" i="7" s="1"/>
  <c r="Y98" i="41"/>
  <c r="V18" i="7" s="1"/>
  <c r="V21" i="7" s="1"/>
  <c r="W97" i="41"/>
  <c r="M18" i="7" s="1"/>
  <c r="M21" i="7" s="1"/>
  <c r="X96" i="41"/>
  <c r="Y96" i="41"/>
  <c r="V98" i="41"/>
  <c r="S18" i="7" s="1"/>
  <c r="S21" i="7" s="1"/>
  <c r="U98" i="41"/>
  <c r="T97" i="41"/>
  <c r="J18" i="7" s="1"/>
  <c r="J21" i="7" s="1"/>
  <c r="T96" i="41"/>
  <c r="C18" i="7" s="1"/>
  <c r="R98" i="41"/>
  <c r="V17" i="7" s="1"/>
  <c r="P97" i="41"/>
  <c r="M17" i="7" s="1"/>
  <c r="M16" i="7" s="1"/>
  <c r="R97" i="41"/>
  <c r="O17" i="7" s="1"/>
  <c r="O16" i="7" s="1"/>
  <c r="O12" i="7" s="1"/>
  <c r="Q97" i="41"/>
  <c r="N17" i="7" s="1"/>
  <c r="O97" i="41"/>
  <c r="L17" i="7" s="1"/>
  <c r="S97" i="41"/>
  <c r="R96" i="41"/>
  <c r="Q96" i="41"/>
  <c r="G17" i="7" s="1"/>
  <c r="P96" i="41"/>
  <c r="F17" i="7" s="1"/>
  <c r="O96" i="41"/>
  <c r="L84" i="41"/>
  <c r="AA84" i="41" s="1"/>
  <c r="G87" i="41"/>
  <c r="L82" i="41"/>
  <c r="AA82" i="41" s="1"/>
  <c r="L89" i="41"/>
  <c r="AA89" i="41" s="1"/>
  <c r="G88" i="41"/>
  <c r="L83" i="41"/>
  <c r="AA83" i="41" s="1"/>
  <c r="M86" i="41"/>
  <c r="M68" i="41" s="1"/>
  <c r="M182" i="50"/>
  <c r="M181" i="50"/>
  <c r="M187" i="50"/>
  <c r="M183" i="50"/>
  <c r="M177" i="50"/>
  <c r="M184" i="50"/>
  <c r="M178" i="50"/>
  <c r="M185" i="50"/>
  <c r="M180" i="50"/>
  <c r="N172" i="50"/>
  <c r="M188" i="50"/>
  <c r="M186" i="50"/>
  <c r="G113" i="50"/>
  <c r="F173" i="50"/>
  <c r="G124" i="50"/>
  <c r="F184" i="50"/>
  <c r="G127" i="50"/>
  <c r="F187" i="50"/>
  <c r="F171" i="50"/>
  <c r="F95" i="50"/>
  <c r="M176" i="50"/>
  <c r="G118" i="50"/>
  <c r="F178" i="50"/>
  <c r="G115" i="50"/>
  <c r="F175" i="50"/>
  <c r="G123" i="50"/>
  <c r="F183" i="50"/>
  <c r="G125" i="50"/>
  <c r="F185" i="50"/>
  <c r="G121" i="50"/>
  <c r="F181" i="50"/>
  <c r="G122" i="50"/>
  <c r="F182" i="50"/>
  <c r="G126" i="50"/>
  <c r="F186" i="50"/>
  <c r="G117" i="50"/>
  <c r="F177" i="50"/>
  <c r="M175" i="50"/>
  <c r="M173" i="50"/>
  <c r="M172" i="50"/>
  <c r="G128" i="50"/>
  <c r="F188" i="50"/>
  <c r="G120" i="50"/>
  <c r="F180" i="50"/>
  <c r="G112" i="50"/>
  <c r="F172" i="50"/>
  <c r="G116" i="50"/>
  <c r="F176" i="50"/>
  <c r="T170" i="50"/>
  <c r="U177" i="50"/>
  <c r="V157" i="50"/>
  <c r="V168" i="50"/>
  <c r="U188" i="50"/>
  <c r="V165" i="50"/>
  <c r="U185" i="50"/>
  <c r="V166" i="50"/>
  <c r="U186" i="50"/>
  <c r="U180" i="50"/>
  <c r="V160" i="50"/>
  <c r="U178" i="50"/>
  <c r="V158" i="50"/>
  <c r="I157" i="50"/>
  <c r="I164" i="50"/>
  <c r="V152" i="50"/>
  <c r="U172" i="50"/>
  <c r="U184" i="50"/>
  <c r="V164" i="50"/>
  <c r="U183" i="50"/>
  <c r="V163" i="50"/>
  <c r="V162" i="50"/>
  <c r="U182" i="50"/>
  <c r="V153" i="50"/>
  <c r="U173" i="50"/>
  <c r="I160" i="50"/>
  <c r="I161" i="50"/>
  <c r="V155" i="50"/>
  <c r="U175" i="50"/>
  <c r="V156" i="50"/>
  <c r="U176" i="50"/>
  <c r="V151" i="50"/>
  <c r="U171" i="50"/>
  <c r="I167" i="50"/>
  <c r="V161" i="50"/>
  <c r="U181" i="50"/>
  <c r="V167" i="50"/>
  <c r="U187" i="50"/>
  <c r="I153" i="50"/>
  <c r="I163" i="50"/>
  <c r="I151" i="50"/>
  <c r="I155" i="50"/>
  <c r="I156" i="50"/>
  <c r="I152" i="50"/>
  <c r="I166" i="50"/>
  <c r="I162" i="50"/>
  <c r="I168" i="50"/>
  <c r="I165" i="50"/>
  <c r="G169" i="50"/>
  <c r="G150" i="50" s="1"/>
  <c r="F189" i="50"/>
  <c r="O157" i="50"/>
  <c r="N177" i="50"/>
  <c r="O156" i="50"/>
  <c r="N176" i="50"/>
  <c r="O155" i="50"/>
  <c r="N175" i="50"/>
  <c r="O168" i="50"/>
  <c r="N188" i="50"/>
  <c r="F62" i="50"/>
  <c r="N173" i="50"/>
  <c r="O153" i="50"/>
  <c r="M85" i="50"/>
  <c r="F86" i="50"/>
  <c r="N19" i="49"/>
  <c r="I86" i="41"/>
  <c r="D19" i="49"/>
  <c r="O86" i="41"/>
  <c r="O68" i="41" s="1"/>
  <c r="U86" i="41"/>
  <c r="U68" i="41" s="1"/>
  <c r="F90" i="50"/>
  <c r="N129" i="50"/>
  <c r="N189" i="50" s="1"/>
  <c r="M110" i="50"/>
  <c r="F86" i="41"/>
  <c r="M189" i="50"/>
  <c r="V129" i="50"/>
  <c r="U110" i="50"/>
  <c r="G129" i="50"/>
  <c r="F110" i="50"/>
  <c r="S12" i="49"/>
  <c r="D15" i="49"/>
  <c r="V169" i="50"/>
  <c r="U189" i="50"/>
  <c r="U150" i="50"/>
  <c r="T106" i="50"/>
  <c r="D12" i="49"/>
  <c r="K12" i="49"/>
  <c r="R15" i="49"/>
  <c r="F94" i="50"/>
  <c r="V86" i="41"/>
  <c r="V68" i="41" s="1"/>
  <c r="P130" i="50"/>
  <c r="N31" i="50"/>
  <c r="F18" i="50"/>
  <c r="R130" i="50"/>
  <c r="G31" i="50"/>
  <c r="J86" i="41"/>
  <c r="K86" i="41"/>
  <c r="F96" i="50"/>
  <c r="F107" i="50"/>
  <c r="R86" i="41"/>
  <c r="R68" i="41" s="1"/>
  <c r="Q86" i="41"/>
  <c r="Q68" i="41" s="1"/>
  <c r="N19" i="50"/>
  <c r="M18" i="50"/>
  <c r="G71" i="50"/>
  <c r="H71" i="50" s="1"/>
  <c r="I71" i="50" s="1"/>
  <c r="J71" i="50" s="1"/>
  <c r="K71" i="50" s="1"/>
  <c r="F88" i="50"/>
  <c r="K19" i="49"/>
  <c r="F19" i="49"/>
  <c r="P86" i="41"/>
  <c r="P68" i="41" s="1"/>
  <c r="N13" i="50"/>
  <c r="M12" i="50"/>
  <c r="I19" i="49"/>
  <c r="Z86" i="41"/>
  <c r="Z68" i="41" s="1"/>
  <c r="Y86" i="41"/>
  <c r="Y68" i="41" s="1"/>
  <c r="W43" i="50"/>
  <c r="G83" i="50"/>
  <c r="G108" i="50" s="1"/>
  <c r="G80" i="50"/>
  <c r="G43" i="50"/>
  <c r="G81" i="50"/>
  <c r="X37" i="50"/>
  <c r="P37" i="50"/>
  <c r="P43" i="50"/>
  <c r="G77" i="50"/>
  <c r="F91" i="50"/>
  <c r="K43" i="50"/>
  <c r="K37" i="50"/>
  <c r="X43" i="50"/>
  <c r="Q43" i="50"/>
  <c r="F108" i="50"/>
  <c r="F43" i="50"/>
  <c r="G61" i="50"/>
  <c r="G86" i="50" s="1"/>
  <c r="F37" i="50"/>
  <c r="G70" i="50"/>
  <c r="G95" i="50" s="1"/>
  <c r="G37" i="50"/>
  <c r="G79" i="50"/>
  <c r="G78" i="50"/>
  <c r="G82" i="50"/>
  <c r="G107" i="50" s="1"/>
  <c r="F106" i="50"/>
  <c r="T74" i="50"/>
  <c r="T99" i="50" s="1"/>
  <c r="T66" i="50"/>
  <c r="T91" i="50" s="1"/>
  <c r="T71" i="50"/>
  <c r="T96" i="50" s="1"/>
  <c r="T63" i="50"/>
  <c r="T73" i="50"/>
  <c r="T98" i="50" s="1"/>
  <c r="T79" i="50"/>
  <c r="T104" i="50" s="1"/>
  <c r="T70" i="50"/>
  <c r="T95" i="50" s="1"/>
  <c r="T107" i="50"/>
  <c r="W37" i="50"/>
  <c r="W34" i="50" s="1"/>
  <c r="Q37" i="50"/>
  <c r="G65" i="50"/>
  <c r="G90" i="50" s="1"/>
  <c r="G73" i="50"/>
  <c r="V43" i="50"/>
  <c r="X86" i="41"/>
  <c r="X68" i="41" s="1"/>
  <c r="T86" i="41"/>
  <c r="T68" i="41" s="1"/>
  <c r="J37" i="50"/>
  <c r="M95" i="50"/>
  <c r="M63" i="50"/>
  <c r="M37" i="50"/>
  <c r="M96" i="50"/>
  <c r="K15" i="49"/>
  <c r="M106" i="50"/>
  <c r="N81" i="50"/>
  <c r="N60" i="50"/>
  <c r="N85" i="50" s="1"/>
  <c r="N61" i="50"/>
  <c r="N72" i="50"/>
  <c r="N70" i="50"/>
  <c r="N71" i="50"/>
  <c r="N80" i="50"/>
  <c r="N79" i="50"/>
  <c r="N73" i="50"/>
  <c r="N66" i="50"/>
  <c r="N74" i="50"/>
  <c r="H66" i="50"/>
  <c r="H72" i="50"/>
  <c r="U81" i="50"/>
  <c r="U69" i="50"/>
  <c r="U61" i="50"/>
  <c r="U65" i="50"/>
  <c r="V65" i="50" s="1"/>
  <c r="W65" i="50" s="1"/>
  <c r="X65" i="50" s="1"/>
  <c r="U72" i="50"/>
  <c r="U83" i="50"/>
  <c r="W86" i="41"/>
  <c r="W68" i="41" s="1"/>
  <c r="H19" i="49"/>
  <c r="V37" i="50"/>
  <c r="M19" i="49"/>
  <c r="H86" i="41"/>
  <c r="S86" i="41"/>
  <c r="S68" i="41" s="1"/>
  <c r="J43" i="50"/>
  <c r="M86" i="50"/>
  <c r="M91" i="50"/>
  <c r="M90" i="50"/>
  <c r="N65" i="50"/>
  <c r="N83" i="50"/>
  <c r="M108" i="50"/>
  <c r="M43" i="50"/>
  <c r="M69" i="50"/>
  <c r="M107" i="50"/>
  <c r="N82" i="50"/>
  <c r="O152" i="50"/>
  <c r="O172" i="50" s="1"/>
  <c r="H33" i="50"/>
  <c r="V32" i="50"/>
  <c r="V16" i="50"/>
  <c r="W15" i="50"/>
  <c r="V29" i="50"/>
  <c r="O161" i="50"/>
  <c r="N181" i="50"/>
  <c r="P32" i="50"/>
  <c r="G60" i="50"/>
  <c r="G85" i="50" s="1"/>
  <c r="P16" i="50"/>
  <c r="P20" i="50"/>
  <c r="P10" i="50"/>
  <c r="V19" i="50"/>
  <c r="U18" i="50"/>
  <c r="O169" i="50"/>
  <c r="H19" i="50"/>
  <c r="V30" i="50"/>
  <c r="X22" i="50"/>
  <c r="T9" i="50"/>
  <c r="S11" i="49" s="1"/>
  <c r="H11" i="50"/>
  <c r="V33" i="50"/>
  <c r="T85" i="50"/>
  <c r="V31" i="50"/>
  <c r="N151" i="50"/>
  <c r="M171" i="50"/>
  <c r="M150" i="50"/>
  <c r="H16" i="50"/>
  <c r="G91" i="50"/>
  <c r="N183" i="50"/>
  <c r="O163" i="50"/>
  <c r="P15" i="50"/>
  <c r="H10" i="50"/>
  <c r="V20" i="50"/>
  <c r="N184" i="50"/>
  <c r="O164" i="50"/>
  <c r="H20" i="50"/>
  <c r="G69" i="50"/>
  <c r="F68" i="50"/>
  <c r="P33" i="50"/>
  <c r="P11" i="50"/>
  <c r="O165" i="50"/>
  <c r="N185" i="50"/>
  <c r="N186" i="50"/>
  <c r="O166" i="50"/>
  <c r="V24" i="50"/>
  <c r="N187" i="50"/>
  <c r="O167" i="50"/>
  <c r="H21" i="50"/>
  <c r="V23" i="50"/>
  <c r="H32" i="50"/>
  <c r="O158" i="50"/>
  <c r="N178" i="50"/>
  <c r="P21" i="50"/>
  <c r="V21" i="50"/>
  <c r="V13" i="50"/>
  <c r="U12" i="50"/>
  <c r="N182" i="50"/>
  <c r="O162" i="50"/>
  <c r="F85" i="50"/>
  <c r="H15" i="50"/>
  <c r="G63" i="50"/>
  <c r="V10" i="50"/>
  <c r="V11" i="50"/>
  <c r="N180" i="50"/>
  <c r="O160" i="50"/>
  <c r="J158" i="50"/>
  <c r="P49" i="39"/>
  <c r="O49" i="39"/>
  <c r="N49" i="39"/>
  <c r="M49" i="39"/>
  <c r="L49" i="39"/>
  <c r="K49" i="39"/>
  <c r="J49" i="39"/>
  <c r="I49" i="39"/>
  <c r="H49" i="39"/>
  <c r="G49" i="39"/>
  <c r="F49" i="39"/>
  <c r="E49" i="39"/>
  <c r="D49" i="39"/>
  <c r="C49" i="39"/>
  <c r="P48" i="39"/>
  <c r="O48" i="39"/>
  <c r="N48" i="39"/>
  <c r="M48" i="39"/>
  <c r="L48" i="39"/>
  <c r="K48" i="39"/>
  <c r="J48" i="39"/>
  <c r="I48" i="39"/>
  <c r="H48" i="39"/>
  <c r="G48" i="39"/>
  <c r="F48" i="39"/>
  <c r="E48" i="39"/>
  <c r="D48" i="39"/>
  <c r="C48" i="39"/>
  <c r="P47" i="39"/>
  <c r="O47" i="39"/>
  <c r="O55" i="39" s="1"/>
  <c r="N47" i="39"/>
  <c r="M47" i="39"/>
  <c r="L47" i="39"/>
  <c r="K47" i="39"/>
  <c r="K55" i="39" s="1"/>
  <c r="I47" i="39"/>
  <c r="H47" i="39"/>
  <c r="G47" i="39"/>
  <c r="F47" i="39"/>
  <c r="E47" i="39"/>
  <c r="D47" i="39"/>
  <c r="C47" i="39"/>
  <c r="J47" i="39"/>
  <c r="I21" i="39"/>
  <c r="P21" i="39" s="1"/>
  <c r="W21" i="39" s="1"/>
  <c r="H21" i="39"/>
  <c r="O21" i="39" s="1"/>
  <c r="V21" i="39" s="1"/>
  <c r="G21" i="39"/>
  <c r="N21" i="39" s="1"/>
  <c r="U21" i="39" s="1"/>
  <c r="F21" i="39"/>
  <c r="M21" i="39" s="1"/>
  <c r="T21" i="39" s="1"/>
  <c r="E21" i="39"/>
  <c r="L21" i="39" s="1"/>
  <c r="S21" i="39" s="1"/>
  <c r="D21" i="39"/>
  <c r="D33" i="39" s="1"/>
  <c r="D46" i="39" s="1"/>
  <c r="K46" i="39" s="1"/>
  <c r="R46" i="39" s="1"/>
  <c r="C21" i="39"/>
  <c r="J21" i="39" s="1"/>
  <c r="Q21" i="39" s="1"/>
  <c r="D17" i="48" l="1"/>
  <c r="C21" i="7"/>
  <c r="B17" i="48"/>
  <c r="B15" i="48" s="1"/>
  <c r="I21" i="7"/>
  <c r="E17" i="48"/>
  <c r="J55" i="39"/>
  <c r="F55" i="39"/>
  <c r="L55" i="39"/>
  <c r="P55" i="39"/>
  <c r="H14" i="50"/>
  <c r="I14" i="50" s="1"/>
  <c r="O20" i="7"/>
  <c r="K20" i="7"/>
  <c r="C55" i="39"/>
  <c r="D55" i="39"/>
  <c r="R55" i="39" s="1"/>
  <c r="H55" i="39"/>
  <c r="V55" i="39" s="1"/>
  <c r="M55" i="39"/>
  <c r="G55" i="39"/>
  <c r="E55" i="39"/>
  <c r="I55" i="39"/>
  <c r="N55" i="39"/>
  <c r="S49" i="39"/>
  <c r="W49" i="39"/>
  <c r="Q49" i="39"/>
  <c r="U20" i="7"/>
  <c r="I114" i="50"/>
  <c r="H174" i="50"/>
  <c r="X114" i="50"/>
  <c r="W174" i="50"/>
  <c r="P114" i="50"/>
  <c r="O174" i="50"/>
  <c r="E95" i="41"/>
  <c r="G12" i="50"/>
  <c r="G9" i="50" s="1"/>
  <c r="H17" i="50"/>
  <c r="G92" i="50"/>
  <c r="O17" i="50"/>
  <c r="N92" i="50"/>
  <c r="W17" i="50"/>
  <c r="V92" i="50"/>
  <c r="X14" i="50"/>
  <c r="W89" i="50"/>
  <c r="P14" i="50"/>
  <c r="O89" i="50"/>
  <c r="C17" i="7"/>
  <c r="C28" i="7" s="1"/>
  <c r="O26" i="50"/>
  <c r="N101" i="50"/>
  <c r="H119" i="50"/>
  <c r="G179" i="50"/>
  <c r="O119" i="50"/>
  <c r="N179" i="50"/>
  <c r="H25" i="50"/>
  <c r="G100" i="50"/>
  <c r="W25" i="50"/>
  <c r="V100" i="50"/>
  <c r="H22" i="50"/>
  <c r="H18" i="50" s="1"/>
  <c r="G97" i="50"/>
  <c r="G105" i="50"/>
  <c r="O23" i="50"/>
  <c r="N98" i="50"/>
  <c r="G98" i="50"/>
  <c r="O28" i="50"/>
  <c r="N103" i="50"/>
  <c r="H29" i="50"/>
  <c r="G104" i="50"/>
  <c r="W26" i="50"/>
  <c r="V101" i="50"/>
  <c r="H27" i="50"/>
  <c r="G102" i="50"/>
  <c r="W119" i="50"/>
  <c r="V179" i="50"/>
  <c r="O25" i="50"/>
  <c r="N100" i="50"/>
  <c r="H24" i="50"/>
  <c r="G99" i="50"/>
  <c r="W28" i="50"/>
  <c r="V103" i="50"/>
  <c r="O24" i="50"/>
  <c r="N99" i="50"/>
  <c r="H28" i="50"/>
  <c r="G103" i="50"/>
  <c r="O30" i="50"/>
  <c r="N105" i="50"/>
  <c r="O29" i="50"/>
  <c r="N104" i="50"/>
  <c r="O27" i="50"/>
  <c r="N102" i="50"/>
  <c r="H26" i="50"/>
  <c r="G101" i="50"/>
  <c r="W27" i="50"/>
  <c r="V102" i="50"/>
  <c r="O22" i="50"/>
  <c r="N97" i="50"/>
  <c r="G50" i="39"/>
  <c r="C50" i="39"/>
  <c r="J16" i="7"/>
  <c r="J12" i="7" s="1"/>
  <c r="J20" i="7" s="1"/>
  <c r="N16" i="7"/>
  <c r="N12" i="7" s="1"/>
  <c r="N20" i="7" s="1"/>
  <c r="L16" i="7"/>
  <c r="L12" i="7" s="1"/>
  <c r="V16" i="7"/>
  <c r="V12" i="7" s="1"/>
  <c r="V20" i="7" s="1"/>
  <c r="E19" i="49"/>
  <c r="G96" i="41"/>
  <c r="E8" i="7"/>
  <c r="F16" i="7"/>
  <c r="X95" i="41"/>
  <c r="G18" i="7"/>
  <c r="V95" i="41"/>
  <c r="J95" i="41"/>
  <c r="H10" i="7"/>
  <c r="S10" i="7"/>
  <c r="L98" i="41"/>
  <c r="AA98" i="41" s="1"/>
  <c r="L8" i="7"/>
  <c r="G97" i="41"/>
  <c r="G16" i="7"/>
  <c r="G12" i="7" s="1"/>
  <c r="G20" i="7" s="1"/>
  <c r="Z95" i="41"/>
  <c r="W18" i="7"/>
  <c r="W21" i="7" s="1"/>
  <c r="I95" i="41"/>
  <c r="N10" i="7"/>
  <c r="I16" i="7"/>
  <c r="I12" i="7" s="1"/>
  <c r="I20" i="7" s="1"/>
  <c r="O95" i="41"/>
  <c r="E17" i="7"/>
  <c r="E16" i="7" s="1"/>
  <c r="E12" i="7" s="1"/>
  <c r="R95" i="41"/>
  <c r="H17" i="7"/>
  <c r="H95" i="41"/>
  <c r="F10" i="7"/>
  <c r="S16" i="7"/>
  <c r="S12" i="7" s="1"/>
  <c r="S20" i="7" s="1"/>
  <c r="S95" i="41"/>
  <c r="P17" i="7"/>
  <c r="P16" i="7" s="1"/>
  <c r="P12" i="7" s="1"/>
  <c r="P20" i="7" s="1"/>
  <c r="U95" i="41"/>
  <c r="R18" i="7"/>
  <c r="Y95" i="41"/>
  <c r="H18" i="7"/>
  <c r="I10" i="7"/>
  <c r="K95" i="41"/>
  <c r="L91" i="41"/>
  <c r="AA91" i="41" s="1"/>
  <c r="F95" i="41"/>
  <c r="D10" i="7"/>
  <c r="S48" i="39"/>
  <c r="W48" i="39"/>
  <c r="Q48" i="39"/>
  <c r="U48" i="39"/>
  <c r="N55" i="53"/>
  <c r="N27" i="7"/>
  <c r="U54" i="53"/>
  <c r="U25" i="7"/>
  <c r="U26" i="7" s="1"/>
  <c r="P55" i="53"/>
  <c r="P27" i="7"/>
  <c r="M12" i="7"/>
  <c r="M20" i="7" s="1"/>
  <c r="W95" i="41"/>
  <c r="T95" i="41"/>
  <c r="Q95" i="41"/>
  <c r="P95" i="41"/>
  <c r="G86" i="41"/>
  <c r="L86" i="41" s="1"/>
  <c r="H169" i="50"/>
  <c r="H150" i="50" s="1"/>
  <c r="L88" i="41"/>
  <c r="AA88" i="41" s="1"/>
  <c r="L19" i="49"/>
  <c r="L87" i="41"/>
  <c r="AA87" i="41" s="1"/>
  <c r="AA68" i="41"/>
  <c r="F170" i="50"/>
  <c r="H116" i="50"/>
  <c r="G176" i="50"/>
  <c r="H120" i="50"/>
  <c r="G180" i="50"/>
  <c r="H126" i="50"/>
  <c r="G186" i="50"/>
  <c r="H121" i="50"/>
  <c r="G181" i="50"/>
  <c r="H123" i="50"/>
  <c r="G183" i="50"/>
  <c r="H118" i="50"/>
  <c r="G178" i="50"/>
  <c r="H111" i="50"/>
  <c r="G171" i="50"/>
  <c r="H124" i="50"/>
  <c r="G184" i="50"/>
  <c r="H112" i="50"/>
  <c r="G172" i="50"/>
  <c r="H128" i="50"/>
  <c r="G188" i="50"/>
  <c r="H117" i="50"/>
  <c r="G177" i="50"/>
  <c r="H122" i="50"/>
  <c r="G182" i="50"/>
  <c r="H125" i="50"/>
  <c r="G185" i="50"/>
  <c r="H115" i="50"/>
  <c r="G175" i="50"/>
  <c r="H127" i="50"/>
  <c r="G187" i="50"/>
  <c r="H113" i="50"/>
  <c r="G173" i="50"/>
  <c r="E50" i="39"/>
  <c r="I50" i="39"/>
  <c r="U49" i="39"/>
  <c r="P50" i="39"/>
  <c r="W47" i="39"/>
  <c r="D50" i="39"/>
  <c r="H50" i="39"/>
  <c r="T47" i="39"/>
  <c r="M50" i="39"/>
  <c r="R48" i="39"/>
  <c r="V48" i="39"/>
  <c r="T49" i="39"/>
  <c r="L50" i="39"/>
  <c r="S47" i="39"/>
  <c r="U47" i="39"/>
  <c r="N50" i="39"/>
  <c r="Q47" i="39"/>
  <c r="J50" i="39"/>
  <c r="F50" i="39"/>
  <c r="K50" i="39"/>
  <c r="R47" i="39"/>
  <c r="O50" i="39"/>
  <c r="V47" i="39"/>
  <c r="T48" i="39"/>
  <c r="R49" i="39"/>
  <c r="V49" i="39"/>
  <c r="U170" i="50"/>
  <c r="J151" i="50"/>
  <c r="W163" i="50"/>
  <c r="V183" i="50"/>
  <c r="V184" i="50"/>
  <c r="W164" i="50"/>
  <c r="J164" i="50"/>
  <c r="J157" i="50"/>
  <c r="W158" i="50"/>
  <c r="V178" i="50"/>
  <c r="W160" i="50"/>
  <c r="V180" i="50"/>
  <c r="V177" i="50"/>
  <c r="W157" i="50"/>
  <c r="J165" i="50"/>
  <c r="J168" i="50"/>
  <c r="J162" i="50"/>
  <c r="J166" i="50"/>
  <c r="J152" i="50"/>
  <c r="J156" i="50"/>
  <c r="J155" i="50"/>
  <c r="J163" i="50"/>
  <c r="J153" i="50"/>
  <c r="W167" i="50"/>
  <c r="V187" i="50"/>
  <c r="W161" i="50"/>
  <c r="V181" i="50"/>
  <c r="J167" i="50"/>
  <c r="V171" i="50"/>
  <c r="W151" i="50"/>
  <c r="V176" i="50"/>
  <c r="W156" i="50"/>
  <c r="V175" i="50"/>
  <c r="W155" i="50"/>
  <c r="J161" i="50"/>
  <c r="J160" i="50"/>
  <c r="V173" i="50"/>
  <c r="W153" i="50"/>
  <c r="W162" i="50"/>
  <c r="V182" i="50"/>
  <c r="V172" i="50"/>
  <c r="W152" i="50"/>
  <c r="W166" i="50"/>
  <c r="V186" i="50"/>
  <c r="W165" i="50"/>
  <c r="V185" i="50"/>
  <c r="V188" i="50"/>
  <c r="W168" i="50"/>
  <c r="P153" i="50"/>
  <c r="O173" i="50"/>
  <c r="P168" i="50"/>
  <c r="O188" i="50"/>
  <c r="P156" i="50"/>
  <c r="O176" i="50"/>
  <c r="P155" i="50"/>
  <c r="O175" i="50"/>
  <c r="P157" i="50"/>
  <c r="O177" i="50"/>
  <c r="M170" i="50"/>
  <c r="W129" i="50"/>
  <c r="V110" i="50"/>
  <c r="F9" i="50"/>
  <c r="E11" i="49" s="1"/>
  <c r="H129" i="50"/>
  <c r="G110" i="50"/>
  <c r="G189" i="50"/>
  <c r="O129" i="50"/>
  <c r="O189" i="50" s="1"/>
  <c r="N110" i="50"/>
  <c r="E15" i="49"/>
  <c r="E12" i="49"/>
  <c r="T12" i="49"/>
  <c r="V81" i="50"/>
  <c r="T15" i="49" s="1"/>
  <c r="W169" i="50"/>
  <c r="V189" i="50"/>
  <c r="V150" i="50"/>
  <c r="H31" i="50"/>
  <c r="I31" i="50" s="1"/>
  <c r="L12" i="49"/>
  <c r="O31" i="50"/>
  <c r="G96" i="50"/>
  <c r="F93" i="50"/>
  <c r="N18" i="50"/>
  <c r="O19" i="50"/>
  <c r="M9" i="50"/>
  <c r="L11" i="49" s="1"/>
  <c r="O13" i="50"/>
  <c r="N12" i="50"/>
  <c r="G106" i="50"/>
  <c r="H81" i="50"/>
  <c r="H80" i="50"/>
  <c r="I80" i="50" s="1"/>
  <c r="J80" i="50" s="1"/>
  <c r="K80" i="50" s="1"/>
  <c r="P34" i="50"/>
  <c r="N25" i="7" s="1"/>
  <c r="N26" i="7" s="1"/>
  <c r="H83" i="50"/>
  <c r="I83" i="50" s="1"/>
  <c r="J83" i="50" s="1"/>
  <c r="K83" i="50" s="1"/>
  <c r="G34" i="50"/>
  <c r="H77" i="50"/>
  <c r="H82" i="50"/>
  <c r="I82" i="50" s="1"/>
  <c r="J82" i="50" s="1"/>
  <c r="K82" i="50" s="1"/>
  <c r="K34" i="50"/>
  <c r="I25" i="7" s="1"/>
  <c r="I26" i="7" s="1"/>
  <c r="U74" i="50"/>
  <c r="U99" i="50" s="1"/>
  <c r="U71" i="50"/>
  <c r="I66" i="50"/>
  <c r="J66" i="50" s="1"/>
  <c r="K66" i="50" s="1"/>
  <c r="F87" i="50"/>
  <c r="V90" i="50"/>
  <c r="V34" i="50"/>
  <c r="T25" i="7" s="1"/>
  <c r="T26" i="7" s="1"/>
  <c r="U73" i="50"/>
  <c r="V73" i="50" s="1"/>
  <c r="W73" i="50" s="1"/>
  <c r="X73" i="50" s="1"/>
  <c r="Y73" i="50" s="1"/>
  <c r="T43" i="50"/>
  <c r="T37" i="50"/>
  <c r="Q34" i="50"/>
  <c r="O25" i="7" s="1"/>
  <c r="O26" i="7" s="1"/>
  <c r="T93" i="50"/>
  <c r="X34" i="50"/>
  <c r="T62" i="50"/>
  <c r="T88" i="50"/>
  <c r="T87" i="50" s="1"/>
  <c r="U106" i="50"/>
  <c r="T68" i="50"/>
  <c r="S15" i="49"/>
  <c r="U70" i="50"/>
  <c r="V70" i="50" s="1"/>
  <c r="W70" i="50" s="1"/>
  <c r="X70" i="50" s="1"/>
  <c r="Y70" i="50" s="1"/>
  <c r="U82" i="50"/>
  <c r="V82" i="50" s="1"/>
  <c r="W82" i="50" s="1"/>
  <c r="P152" i="50"/>
  <c r="Q152" i="50" s="1"/>
  <c r="H79" i="50"/>
  <c r="I79" i="50" s="1"/>
  <c r="J79" i="50" s="1"/>
  <c r="K79" i="50" s="1"/>
  <c r="F34" i="50"/>
  <c r="H61" i="50"/>
  <c r="I61" i="50" s="1"/>
  <c r="J61" i="50" s="1"/>
  <c r="K61" i="50" s="1"/>
  <c r="H70" i="50"/>
  <c r="H95" i="50" s="1"/>
  <c r="I43" i="50"/>
  <c r="I37" i="50"/>
  <c r="H73" i="50"/>
  <c r="I73" i="50" s="1"/>
  <c r="J73" i="50" s="1"/>
  <c r="K73" i="50" s="1"/>
  <c r="H78" i="50"/>
  <c r="I78" i="50" s="1"/>
  <c r="J78" i="50" s="1"/>
  <c r="K78" i="50" s="1"/>
  <c r="U79" i="50"/>
  <c r="U66" i="50"/>
  <c r="V66" i="50" s="1"/>
  <c r="W66" i="50" s="1"/>
  <c r="X66" i="50" s="1"/>
  <c r="Y66" i="50" s="1"/>
  <c r="U63" i="50"/>
  <c r="U88" i="50" s="1"/>
  <c r="Y65" i="50"/>
  <c r="H65" i="50"/>
  <c r="I65" i="50" s="1"/>
  <c r="J65" i="50" s="1"/>
  <c r="K65" i="50" s="1"/>
  <c r="U90" i="50"/>
  <c r="O43" i="50"/>
  <c r="N43" i="50"/>
  <c r="V80" i="50"/>
  <c r="W80" i="50" s="1"/>
  <c r="X80" i="50" s="1"/>
  <c r="Y80" i="50" s="1"/>
  <c r="V72" i="50"/>
  <c r="U97" i="50"/>
  <c r="V61" i="50"/>
  <c r="W61" i="50" s="1"/>
  <c r="X61" i="50" s="1"/>
  <c r="Y61" i="50" s="1"/>
  <c r="U86" i="50"/>
  <c r="O71" i="50"/>
  <c r="N96" i="50"/>
  <c r="O72" i="50"/>
  <c r="V83" i="50"/>
  <c r="W83" i="50" s="1"/>
  <c r="X83" i="50" s="1"/>
  <c r="Y83" i="50" s="1"/>
  <c r="U108" i="50"/>
  <c r="O74" i="50"/>
  <c r="O80" i="50"/>
  <c r="O70" i="50"/>
  <c r="N95" i="50"/>
  <c r="L15" i="49"/>
  <c r="O81" i="50"/>
  <c r="N106" i="50"/>
  <c r="O82" i="50"/>
  <c r="N107" i="50"/>
  <c r="M68" i="50"/>
  <c r="M94" i="50"/>
  <c r="M93" i="50" s="1"/>
  <c r="N69" i="50"/>
  <c r="O65" i="50"/>
  <c r="N90" i="50"/>
  <c r="U37" i="50"/>
  <c r="H37" i="50"/>
  <c r="O60" i="50"/>
  <c r="M88" i="50"/>
  <c r="M87" i="50" s="1"/>
  <c r="N63" i="50"/>
  <c r="M62" i="50"/>
  <c r="J34" i="50"/>
  <c r="Y43" i="50"/>
  <c r="U60" i="50"/>
  <c r="O83" i="50"/>
  <c r="N108" i="50"/>
  <c r="O66" i="50"/>
  <c r="N91" i="50"/>
  <c r="O79" i="50"/>
  <c r="O73" i="50"/>
  <c r="O61" i="50"/>
  <c r="N86" i="50"/>
  <c r="U43" i="50"/>
  <c r="H43" i="50"/>
  <c r="O37" i="50"/>
  <c r="N37" i="50"/>
  <c r="M34" i="50"/>
  <c r="Y37" i="50"/>
  <c r="R43" i="50"/>
  <c r="R37" i="50"/>
  <c r="T279" i="50"/>
  <c r="R10" i="49"/>
  <c r="D10" i="49"/>
  <c r="V26" i="39"/>
  <c r="R26" i="39"/>
  <c r="T26" i="39"/>
  <c r="F59" i="50"/>
  <c r="E14" i="49" s="1"/>
  <c r="O180" i="50"/>
  <c r="P160" i="50"/>
  <c r="W24" i="50"/>
  <c r="H69" i="50"/>
  <c r="H94" i="50" s="1"/>
  <c r="G68" i="50"/>
  <c r="N171" i="50"/>
  <c r="O151" i="50"/>
  <c r="N150" i="50"/>
  <c r="W30" i="50"/>
  <c r="W105" i="50" s="1"/>
  <c r="V69" i="50"/>
  <c r="V94" i="50" s="1"/>
  <c r="Q16" i="50"/>
  <c r="I33" i="50"/>
  <c r="I23" i="50"/>
  <c r="I15" i="50"/>
  <c r="P162" i="50"/>
  <c r="O182" i="50"/>
  <c r="W13" i="50"/>
  <c r="V12" i="50"/>
  <c r="W21" i="50"/>
  <c r="P158" i="50"/>
  <c r="O178" i="50"/>
  <c r="W23" i="50"/>
  <c r="P167" i="50"/>
  <c r="O187" i="50"/>
  <c r="P166" i="50"/>
  <c r="O186" i="50"/>
  <c r="P165" i="50"/>
  <c r="O185" i="50"/>
  <c r="Q33" i="50"/>
  <c r="I20" i="50"/>
  <c r="W20" i="50"/>
  <c r="I10" i="50"/>
  <c r="P163" i="50"/>
  <c r="O183" i="50"/>
  <c r="I16" i="50"/>
  <c r="H91" i="50"/>
  <c r="W33" i="50"/>
  <c r="Y22" i="50"/>
  <c r="I19" i="50"/>
  <c r="U94" i="50"/>
  <c r="Q10" i="50"/>
  <c r="I13" i="50"/>
  <c r="H12" i="50"/>
  <c r="Q32" i="50"/>
  <c r="W10" i="50"/>
  <c r="W11" i="50"/>
  <c r="I72" i="50"/>
  <c r="O184" i="50"/>
  <c r="P164" i="50"/>
  <c r="I30" i="50"/>
  <c r="W31" i="50"/>
  <c r="P169" i="50"/>
  <c r="Q20" i="50"/>
  <c r="H60" i="50"/>
  <c r="W29" i="50"/>
  <c r="X15" i="50"/>
  <c r="W90" i="50"/>
  <c r="W16" i="50"/>
  <c r="W32" i="50"/>
  <c r="H63" i="50"/>
  <c r="G62" i="50"/>
  <c r="U9" i="50"/>
  <c r="T11" i="49" s="1"/>
  <c r="Q21" i="50"/>
  <c r="I32" i="50"/>
  <c r="I21" i="50"/>
  <c r="H96" i="50"/>
  <c r="Q11" i="50"/>
  <c r="Q15" i="50"/>
  <c r="I11" i="50"/>
  <c r="G94" i="50"/>
  <c r="W19" i="50"/>
  <c r="V18" i="50"/>
  <c r="G88" i="50"/>
  <c r="G87" i="50" s="1"/>
  <c r="P161" i="50"/>
  <c r="O181" i="50"/>
  <c r="K158" i="50"/>
  <c r="D59" i="39"/>
  <c r="H33" i="39"/>
  <c r="H46" i="39" s="1"/>
  <c r="K21" i="39"/>
  <c r="R21" i="39" s="1"/>
  <c r="K33" i="39"/>
  <c r="R33" i="39" s="1"/>
  <c r="E33" i="39"/>
  <c r="I33" i="39"/>
  <c r="F33" i="39"/>
  <c r="C33" i="39"/>
  <c r="G33" i="39"/>
  <c r="F15" i="21" l="1"/>
  <c r="C56" i="53"/>
  <c r="C53" i="53" s="1"/>
  <c r="D12" i="20" s="1"/>
  <c r="C32" i="7"/>
  <c r="H17" i="48"/>
  <c r="AA86" i="41"/>
  <c r="AH10" i="51"/>
  <c r="R21" i="7"/>
  <c r="C17" i="48"/>
  <c r="C15" i="48" s="1"/>
  <c r="G21" i="7"/>
  <c r="F17" i="48"/>
  <c r="H21" i="7"/>
  <c r="G17" i="48"/>
  <c r="S50" i="39"/>
  <c r="H89" i="50"/>
  <c r="L20" i="7"/>
  <c r="E20" i="7"/>
  <c r="K59" i="39"/>
  <c r="D65" i="39"/>
  <c r="U50" i="39"/>
  <c r="Y114" i="50"/>
  <c r="Y174" i="50" s="1"/>
  <c r="X174" i="50"/>
  <c r="Q114" i="50"/>
  <c r="P174" i="50"/>
  <c r="J114" i="50"/>
  <c r="I174" i="50"/>
  <c r="I98" i="50"/>
  <c r="N170" i="50"/>
  <c r="X17" i="50"/>
  <c r="W92" i="50"/>
  <c r="P17" i="50"/>
  <c r="O92" i="50"/>
  <c r="I17" i="50"/>
  <c r="H92" i="50"/>
  <c r="Q14" i="50"/>
  <c r="P89" i="50"/>
  <c r="J14" i="50"/>
  <c r="I89" i="50"/>
  <c r="Y14" i="50"/>
  <c r="Y89" i="50" s="1"/>
  <c r="X89" i="50"/>
  <c r="I105" i="50"/>
  <c r="F13" i="21"/>
  <c r="C16" i="7"/>
  <c r="C12" i="7" s="1"/>
  <c r="C20" i="7" s="1"/>
  <c r="Q55" i="39"/>
  <c r="P29" i="50"/>
  <c r="O104" i="50"/>
  <c r="P24" i="50"/>
  <c r="O99" i="50"/>
  <c r="X26" i="50"/>
  <c r="W101" i="50"/>
  <c r="P28" i="50"/>
  <c r="O103" i="50"/>
  <c r="X25" i="50"/>
  <c r="W100" i="50"/>
  <c r="V79" i="50"/>
  <c r="U104" i="50"/>
  <c r="X27" i="50"/>
  <c r="W102" i="50"/>
  <c r="P27" i="50"/>
  <c r="O102" i="50"/>
  <c r="X28" i="50"/>
  <c r="W103" i="50"/>
  <c r="P25" i="50"/>
  <c r="O100" i="50"/>
  <c r="I27" i="50"/>
  <c r="H102" i="50"/>
  <c r="P119" i="50"/>
  <c r="O179" i="50"/>
  <c r="P26" i="50"/>
  <c r="O101" i="50"/>
  <c r="P30" i="50"/>
  <c r="O105" i="50"/>
  <c r="I28" i="50"/>
  <c r="H103" i="50"/>
  <c r="V105" i="50"/>
  <c r="H98" i="50"/>
  <c r="I29" i="50"/>
  <c r="H104" i="50"/>
  <c r="I22" i="50"/>
  <c r="I18" i="50" s="1"/>
  <c r="H97" i="50"/>
  <c r="H93" i="50" s="1"/>
  <c r="P22" i="50"/>
  <c r="O97" i="50"/>
  <c r="I26" i="50"/>
  <c r="H101" i="50"/>
  <c r="H105" i="50"/>
  <c r="I24" i="50"/>
  <c r="H99" i="50"/>
  <c r="X119" i="50"/>
  <c r="W179" i="50"/>
  <c r="O98" i="50"/>
  <c r="P23" i="50"/>
  <c r="I25" i="50"/>
  <c r="H100" i="50"/>
  <c r="I119" i="50"/>
  <c r="H179" i="50"/>
  <c r="S55" i="39"/>
  <c r="Q50" i="39"/>
  <c r="H16" i="7"/>
  <c r="F12" i="7"/>
  <c r="F20" i="7" s="1"/>
  <c r="R16" i="7"/>
  <c r="L97" i="41"/>
  <c r="AA97" i="41" s="1"/>
  <c r="L10" i="7"/>
  <c r="E10" i="7"/>
  <c r="L96" i="41"/>
  <c r="AA96" i="41" s="1"/>
  <c r="G95" i="41"/>
  <c r="L95" i="41" s="1"/>
  <c r="AA95" i="41" s="1"/>
  <c r="W16" i="7"/>
  <c r="T50" i="39"/>
  <c r="D25" i="7"/>
  <c r="D26" i="7" s="1"/>
  <c r="D54" i="53"/>
  <c r="K25" i="7"/>
  <c r="K26" i="7" s="1"/>
  <c r="K54" i="53"/>
  <c r="K53" i="53" s="1"/>
  <c r="E15" i="20" s="1"/>
  <c r="H54" i="53"/>
  <c r="H25" i="7"/>
  <c r="H26" i="7" s="1"/>
  <c r="V54" i="53"/>
  <c r="V25" i="7"/>
  <c r="V26" i="7" s="1"/>
  <c r="E54" i="53"/>
  <c r="E25" i="7"/>
  <c r="E26" i="7" s="1"/>
  <c r="I169" i="50"/>
  <c r="J169" i="50" s="1"/>
  <c r="H189" i="50"/>
  <c r="G170" i="50"/>
  <c r="I127" i="50"/>
  <c r="H187" i="50"/>
  <c r="I125" i="50"/>
  <c r="H185" i="50"/>
  <c r="I117" i="50"/>
  <c r="H177" i="50"/>
  <c r="I112" i="50"/>
  <c r="H172" i="50"/>
  <c r="I111" i="50"/>
  <c r="H171" i="50"/>
  <c r="I123" i="50"/>
  <c r="H183" i="50"/>
  <c r="I126" i="50"/>
  <c r="H186" i="50"/>
  <c r="I116" i="50"/>
  <c r="H176" i="50"/>
  <c r="I113" i="50"/>
  <c r="H173" i="50"/>
  <c r="I115" i="50"/>
  <c r="H175" i="50"/>
  <c r="I122" i="50"/>
  <c r="H182" i="50"/>
  <c r="I128" i="50"/>
  <c r="H188" i="50"/>
  <c r="I124" i="50"/>
  <c r="H184" i="50"/>
  <c r="I118" i="50"/>
  <c r="H178" i="50"/>
  <c r="I121" i="50"/>
  <c r="H181" i="50"/>
  <c r="I120" i="50"/>
  <c r="H180" i="50"/>
  <c r="V170" i="50"/>
  <c r="R50" i="39"/>
  <c r="W50" i="39"/>
  <c r="U55" i="39"/>
  <c r="W55" i="39"/>
  <c r="T55" i="39"/>
  <c r="V50" i="39"/>
  <c r="X168" i="50"/>
  <c r="W188" i="50"/>
  <c r="W172" i="50"/>
  <c r="X152" i="50"/>
  <c r="X153" i="50"/>
  <c r="W173" i="50"/>
  <c r="K160" i="50"/>
  <c r="X155" i="50"/>
  <c r="W175" i="50"/>
  <c r="X156" i="50"/>
  <c r="W176" i="50"/>
  <c r="W171" i="50"/>
  <c r="X151" i="50"/>
  <c r="X157" i="50"/>
  <c r="W177" i="50"/>
  <c r="W184" i="50"/>
  <c r="X164" i="50"/>
  <c r="K151" i="50"/>
  <c r="X165" i="50"/>
  <c r="W185" i="50"/>
  <c r="X166" i="50"/>
  <c r="W186" i="50"/>
  <c r="X162" i="50"/>
  <c r="W182" i="50"/>
  <c r="K161" i="50"/>
  <c r="K167" i="50"/>
  <c r="X161" i="50"/>
  <c r="W181" i="50"/>
  <c r="X167" i="50"/>
  <c r="W187" i="50"/>
  <c r="K153" i="50"/>
  <c r="K163" i="50"/>
  <c r="K155" i="50"/>
  <c r="K156" i="50"/>
  <c r="K152" i="50"/>
  <c r="K166" i="50"/>
  <c r="K162" i="50"/>
  <c r="K168" i="50"/>
  <c r="K165" i="50"/>
  <c r="W180" i="50"/>
  <c r="X160" i="50"/>
  <c r="W178" i="50"/>
  <c r="X158" i="50"/>
  <c r="K157" i="50"/>
  <c r="K164" i="50"/>
  <c r="X163" i="50"/>
  <c r="W183" i="50"/>
  <c r="Q155" i="50"/>
  <c r="P175" i="50"/>
  <c r="Q168" i="50"/>
  <c r="P188" i="50"/>
  <c r="Q157" i="50"/>
  <c r="P177" i="50"/>
  <c r="Q156" i="50"/>
  <c r="P176" i="50"/>
  <c r="Q153" i="50"/>
  <c r="P173" i="50"/>
  <c r="F11" i="49"/>
  <c r="F279" i="50"/>
  <c r="P129" i="50"/>
  <c r="P189" i="50" s="1"/>
  <c r="O110" i="50"/>
  <c r="I129" i="50"/>
  <c r="H110" i="50"/>
  <c r="F84" i="50"/>
  <c r="F282" i="50" s="1"/>
  <c r="X129" i="50"/>
  <c r="W110" i="50"/>
  <c r="V106" i="50"/>
  <c r="W81" i="50"/>
  <c r="X81" i="50" s="1"/>
  <c r="G12" i="49"/>
  <c r="U12" i="49"/>
  <c r="X169" i="50"/>
  <c r="W189" i="50"/>
  <c r="W150" i="50"/>
  <c r="F15" i="49"/>
  <c r="F12" i="49"/>
  <c r="T54" i="53"/>
  <c r="U96" i="50"/>
  <c r="V71" i="50"/>
  <c r="W71" i="50" s="1"/>
  <c r="X71" i="50" s="1"/>
  <c r="Y71" i="50" s="1"/>
  <c r="Q280" i="50"/>
  <c r="O54" i="53"/>
  <c r="O53" i="53" s="1"/>
  <c r="I15" i="20" s="1"/>
  <c r="P280" i="50"/>
  <c r="N54" i="53"/>
  <c r="N53" i="53" s="1"/>
  <c r="H15" i="20" s="1"/>
  <c r="I54" i="53"/>
  <c r="N9" i="50"/>
  <c r="M11" i="49" s="1"/>
  <c r="P172" i="50"/>
  <c r="M12" i="49"/>
  <c r="P31" i="50"/>
  <c r="G93" i="50"/>
  <c r="G84" i="50" s="1"/>
  <c r="O12" i="50"/>
  <c r="P13" i="50"/>
  <c r="O18" i="50"/>
  <c r="P19" i="50"/>
  <c r="H106" i="50"/>
  <c r="I81" i="50"/>
  <c r="G15" i="49" s="1"/>
  <c r="M279" i="50"/>
  <c r="K10" i="49"/>
  <c r="V98" i="50"/>
  <c r="I70" i="50"/>
  <c r="J70" i="50" s="1"/>
  <c r="K70" i="50" s="1"/>
  <c r="I77" i="50"/>
  <c r="J77" i="50" s="1"/>
  <c r="K77" i="50" s="1"/>
  <c r="G280" i="50"/>
  <c r="V63" i="50"/>
  <c r="V88" i="50" s="1"/>
  <c r="H108" i="50"/>
  <c r="M59" i="50"/>
  <c r="L14" i="49" s="1"/>
  <c r="U107" i="50"/>
  <c r="U91" i="50"/>
  <c r="V74" i="50"/>
  <c r="U95" i="50"/>
  <c r="T84" i="50"/>
  <c r="T34" i="50"/>
  <c r="U68" i="50"/>
  <c r="U62" i="50"/>
  <c r="U98" i="50"/>
  <c r="T59" i="50"/>
  <c r="S14" i="49" s="1"/>
  <c r="H86" i="50"/>
  <c r="H107" i="50"/>
  <c r="K280" i="50"/>
  <c r="Y34" i="50"/>
  <c r="W25" i="7" s="1"/>
  <c r="W26" i="7" s="1"/>
  <c r="X82" i="50"/>
  <c r="Y82" i="50" s="1"/>
  <c r="V107" i="50"/>
  <c r="V91" i="50"/>
  <c r="F280" i="50"/>
  <c r="I34" i="50"/>
  <c r="G25" i="7" s="1"/>
  <c r="G26" i="7" s="1"/>
  <c r="H34" i="50"/>
  <c r="H90" i="50"/>
  <c r="V108" i="50"/>
  <c r="V86" i="50"/>
  <c r="N34" i="50"/>
  <c r="M84" i="50"/>
  <c r="V95" i="50"/>
  <c r="O34" i="50"/>
  <c r="R34" i="50"/>
  <c r="U34" i="50"/>
  <c r="M280" i="50"/>
  <c r="P79" i="50"/>
  <c r="J280" i="50"/>
  <c r="N88" i="50"/>
  <c r="N87" i="50" s="1"/>
  <c r="N62" i="50"/>
  <c r="O63" i="50"/>
  <c r="P60" i="50"/>
  <c r="O85" i="50"/>
  <c r="P65" i="50"/>
  <c r="O90" i="50"/>
  <c r="P70" i="50"/>
  <c r="O95" i="50"/>
  <c r="P74" i="50"/>
  <c r="P71" i="50"/>
  <c r="O96" i="50"/>
  <c r="P61" i="50"/>
  <c r="O86" i="50"/>
  <c r="P73" i="50"/>
  <c r="P66" i="50"/>
  <c r="O91" i="50"/>
  <c r="P83" i="50"/>
  <c r="O108" i="50"/>
  <c r="V60" i="50"/>
  <c r="U85" i="50"/>
  <c r="N68" i="50"/>
  <c r="O69" i="50"/>
  <c r="N94" i="50"/>
  <c r="N93" i="50" s="1"/>
  <c r="P82" i="50"/>
  <c r="P107" i="50" s="1"/>
  <c r="O107" i="50"/>
  <c r="M15" i="49"/>
  <c r="P81" i="50"/>
  <c r="O106" i="50"/>
  <c r="P80" i="50"/>
  <c r="P72" i="50"/>
  <c r="V97" i="50"/>
  <c r="W72" i="50"/>
  <c r="U279" i="50"/>
  <c r="S10" i="49"/>
  <c r="S26" i="39"/>
  <c r="U26" i="39"/>
  <c r="W26" i="39"/>
  <c r="F281" i="50"/>
  <c r="D13" i="49"/>
  <c r="G279" i="50"/>
  <c r="E10" i="49"/>
  <c r="G59" i="50"/>
  <c r="F14" i="49" s="1"/>
  <c r="V9" i="50"/>
  <c r="U11" i="49" s="1"/>
  <c r="P181" i="50"/>
  <c r="Q161" i="50"/>
  <c r="J11" i="50"/>
  <c r="I86" i="50"/>
  <c r="J21" i="50"/>
  <c r="I96" i="50"/>
  <c r="R20" i="50"/>
  <c r="Q169" i="50"/>
  <c r="J72" i="50"/>
  <c r="R33" i="50"/>
  <c r="Q166" i="50"/>
  <c r="P186" i="50"/>
  <c r="R15" i="50"/>
  <c r="R32" i="50"/>
  <c r="J23" i="50"/>
  <c r="J98" i="50" s="1"/>
  <c r="I69" i="50"/>
  <c r="H68" i="50"/>
  <c r="J32" i="50"/>
  <c r="I107" i="50"/>
  <c r="J31" i="50"/>
  <c r="I63" i="50"/>
  <c r="H62" i="50"/>
  <c r="X32" i="50"/>
  <c r="Y15" i="50"/>
  <c r="Y90" i="50" s="1"/>
  <c r="X90" i="50"/>
  <c r="I60" i="50"/>
  <c r="X31" i="50"/>
  <c r="J30" i="50"/>
  <c r="J105" i="50" s="1"/>
  <c r="Q164" i="50"/>
  <c r="P184" i="50"/>
  <c r="H88" i="50"/>
  <c r="R10" i="50"/>
  <c r="J19" i="50"/>
  <c r="X33" i="50"/>
  <c r="W108" i="50"/>
  <c r="H85" i="50"/>
  <c r="Q165" i="50"/>
  <c r="P185" i="50"/>
  <c r="Q167" i="50"/>
  <c r="P187" i="50"/>
  <c r="P178" i="50"/>
  <c r="Q158" i="50"/>
  <c r="X21" i="50"/>
  <c r="R16" i="50"/>
  <c r="W69" i="50"/>
  <c r="W94" i="50" s="1"/>
  <c r="X19" i="50"/>
  <c r="W18" i="50"/>
  <c r="R11" i="50"/>
  <c r="X16" i="50"/>
  <c r="W91" i="50"/>
  <c r="X29" i="50"/>
  <c r="J13" i="50"/>
  <c r="I12" i="50"/>
  <c r="J16" i="50"/>
  <c r="I91" i="50"/>
  <c r="P183" i="50"/>
  <c r="Q163" i="50"/>
  <c r="X23" i="50"/>
  <c r="W98" i="50"/>
  <c r="P151" i="50"/>
  <c r="O171" i="50"/>
  <c r="O150" i="50"/>
  <c r="X10" i="50"/>
  <c r="X20" i="50"/>
  <c r="W95" i="50"/>
  <c r="Q162" i="50"/>
  <c r="P182" i="50"/>
  <c r="X30" i="50"/>
  <c r="X105" i="50" s="1"/>
  <c r="Q160" i="50"/>
  <c r="P180" i="50"/>
  <c r="R152" i="50"/>
  <c r="R172" i="50" s="1"/>
  <c r="Q172" i="50"/>
  <c r="R21" i="50"/>
  <c r="X11" i="50"/>
  <c r="W86" i="50"/>
  <c r="H9" i="50"/>
  <c r="J10" i="50"/>
  <c r="J20" i="50"/>
  <c r="X13" i="50"/>
  <c r="W12" i="50"/>
  <c r="J15" i="50"/>
  <c r="I90" i="50"/>
  <c r="J33" i="50"/>
  <c r="I108" i="50"/>
  <c r="X24" i="50"/>
  <c r="O46" i="39"/>
  <c r="V46" i="39" s="1"/>
  <c r="H59" i="39"/>
  <c r="O33" i="39"/>
  <c r="V33" i="39" s="1"/>
  <c r="M33" i="39"/>
  <c r="T33" i="39" s="1"/>
  <c r="F46" i="39"/>
  <c r="G46" i="39"/>
  <c r="N33" i="39"/>
  <c r="U33" i="39" s="1"/>
  <c r="I46" i="39"/>
  <c r="P33" i="39"/>
  <c r="W33" i="39" s="1"/>
  <c r="J33" i="39"/>
  <c r="Q33" i="39" s="1"/>
  <c r="C46" i="39"/>
  <c r="E46" i="39"/>
  <c r="L33" i="39"/>
  <c r="S33" i="39" s="1"/>
  <c r="G15" i="21" l="1"/>
  <c r="F284" i="50"/>
  <c r="O59" i="39"/>
  <c r="H65" i="39"/>
  <c r="R114" i="50"/>
  <c r="R174" i="50" s="1"/>
  <c r="Q174" i="50"/>
  <c r="K114" i="50"/>
  <c r="K174" i="50" s="1"/>
  <c r="J174" i="50"/>
  <c r="B47" i="48"/>
  <c r="B49" i="48" s="1"/>
  <c r="C48" i="48" s="1"/>
  <c r="J17" i="50"/>
  <c r="I92" i="50"/>
  <c r="Q17" i="50"/>
  <c r="P92" i="50"/>
  <c r="Y17" i="50"/>
  <c r="Y92" i="50" s="1"/>
  <c r="X92" i="50"/>
  <c r="K14" i="50"/>
  <c r="K89" i="50" s="1"/>
  <c r="J89" i="50"/>
  <c r="R14" i="50"/>
  <c r="R89" i="50" s="1"/>
  <c r="Q89" i="50"/>
  <c r="O170" i="50"/>
  <c r="G13" i="21"/>
  <c r="J119" i="50"/>
  <c r="I179" i="50"/>
  <c r="J24" i="50"/>
  <c r="I99" i="50"/>
  <c r="P97" i="50"/>
  <c r="Q22" i="50"/>
  <c r="J22" i="50"/>
  <c r="J18" i="50" s="1"/>
  <c r="I97" i="50"/>
  <c r="P105" i="50"/>
  <c r="Q30" i="50"/>
  <c r="Q119" i="50"/>
  <c r="P179" i="50"/>
  <c r="Q25" i="50"/>
  <c r="P100" i="50"/>
  <c r="Q27" i="50"/>
  <c r="P102" i="50"/>
  <c r="W79" i="50"/>
  <c r="V104" i="50"/>
  <c r="Q28" i="50"/>
  <c r="P103" i="50"/>
  <c r="Q24" i="50"/>
  <c r="P99" i="50"/>
  <c r="W74" i="50"/>
  <c r="V99" i="50"/>
  <c r="J25" i="50"/>
  <c r="I100" i="50"/>
  <c r="Y119" i="50"/>
  <c r="Y179" i="50" s="1"/>
  <c r="X179" i="50"/>
  <c r="P98" i="50"/>
  <c r="Q23" i="50"/>
  <c r="J26" i="50"/>
  <c r="I101" i="50"/>
  <c r="J29" i="50"/>
  <c r="I104" i="50"/>
  <c r="J28" i="50"/>
  <c r="I103" i="50"/>
  <c r="Q26" i="50"/>
  <c r="P101" i="50"/>
  <c r="J27" i="50"/>
  <c r="I102" i="50"/>
  <c r="Y28" i="50"/>
  <c r="Y103" i="50" s="1"/>
  <c r="X103" i="50"/>
  <c r="Y27" i="50"/>
  <c r="Y102" i="50" s="1"/>
  <c r="X102" i="50"/>
  <c r="Y25" i="50"/>
  <c r="Y100" i="50" s="1"/>
  <c r="X100" i="50"/>
  <c r="Y26" i="50"/>
  <c r="Y101" i="50" s="1"/>
  <c r="X101" i="50"/>
  <c r="Q29" i="50"/>
  <c r="P104" i="50"/>
  <c r="H12" i="7"/>
  <c r="H20" i="7" s="1"/>
  <c r="W12" i="7"/>
  <c r="W20" i="7" s="1"/>
  <c r="C7" i="48"/>
  <c r="R12" i="7"/>
  <c r="R20" i="7" s="1"/>
  <c r="L54" i="53"/>
  <c r="L53" i="53" s="1"/>
  <c r="F15" i="20" s="1"/>
  <c r="L25" i="7"/>
  <c r="L26" i="7" s="1"/>
  <c r="F54" i="53"/>
  <c r="F25" i="7"/>
  <c r="F26" i="7" s="1"/>
  <c r="I150" i="50"/>
  <c r="P54" i="53"/>
  <c r="P53" i="53" s="1"/>
  <c r="J15" i="20" s="1"/>
  <c r="P25" i="7"/>
  <c r="P26" i="7" s="1"/>
  <c r="M54" i="53"/>
  <c r="M53" i="53" s="1"/>
  <c r="G15" i="20" s="1"/>
  <c r="M25" i="7"/>
  <c r="M26" i="7" s="1"/>
  <c r="R25" i="7"/>
  <c r="R26" i="7" s="1"/>
  <c r="R54" i="53"/>
  <c r="S54" i="53"/>
  <c r="S25" i="7"/>
  <c r="S26" i="7" s="1"/>
  <c r="I189" i="50"/>
  <c r="G282" i="50"/>
  <c r="H170" i="50"/>
  <c r="J121" i="50"/>
  <c r="I181" i="50"/>
  <c r="J124" i="50"/>
  <c r="I184" i="50"/>
  <c r="J122" i="50"/>
  <c r="I182" i="50"/>
  <c r="J113" i="50"/>
  <c r="I173" i="50"/>
  <c r="J126" i="50"/>
  <c r="I186" i="50"/>
  <c r="J111" i="50"/>
  <c r="I171" i="50"/>
  <c r="J117" i="50"/>
  <c r="I177" i="50"/>
  <c r="J127" i="50"/>
  <c r="I187" i="50"/>
  <c r="W170" i="50"/>
  <c r="J120" i="50"/>
  <c r="I180" i="50"/>
  <c r="J118" i="50"/>
  <c r="I178" i="50"/>
  <c r="J128" i="50"/>
  <c r="I188" i="50"/>
  <c r="J115" i="50"/>
  <c r="I175" i="50"/>
  <c r="J116" i="50"/>
  <c r="I176" i="50"/>
  <c r="J123" i="50"/>
  <c r="I183" i="50"/>
  <c r="J112" i="50"/>
  <c r="I172" i="50"/>
  <c r="J125" i="50"/>
  <c r="I185" i="50"/>
  <c r="X178" i="50"/>
  <c r="Y158" i="50"/>
  <c r="Y178" i="50" s="1"/>
  <c r="Y160" i="50"/>
  <c r="Y180" i="50" s="1"/>
  <c r="X180" i="50"/>
  <c r="Y164" i="50"/>
  <c r="Y184" i="50" s="1"/>
  <c r="X184" i="50"/>
  <c r="Y151" i="50"/>
  <c r="Y171" i="50" s="1"/>
  <c r="X171" i="50"/>
  <c r="Y152" i="50"/>
  <c r="Y172" i="50" s="1"/>
  <c r="X172" i="50"/>
  <c r="Y163" i="50"/>
  <c r="Y183" i="50" s="1"/>
  <c r="X183" i="50"/>
  <c r="Y167" i="50"/>
  <c r="Y187" i="50" s="1"/>
  <c r="X187" i="50"/>
  <c r="Y161" i="50"/>
  <c r="Y181" i="50" s="1"/>
  <c r="X181" i="50"/>
  <c r="Y162" i="50"/>
  <c r="Y182" i="50" s="1"/>
  <c r="X182" i="50"/>
  <c r="Y166" i="50"/>
  <c r="Y186" i="50" s="1"/>
  <c r="X186" i="50"/>
  <c r="Y165" i="50"/>
  <c r="Y185" i="50" s="1"/>
  <c r="X185" i="50"/>
  <c r="Y157" i="50"/>
  <c r="Y177" i="50" s="1"/>
  <c r="X177" i="50"/>
  <c r="X176" i="50"/>
  <c r="Y156" i="50"/>
  <c r="Y176" i="50" s="1"/>
  <c r="X175" i="50"/>
  <c r="Y155" i="50"/>
  <c r="Y175" i="50" s="1"/>
  <c r="X173" i="50"/>
  <c r="Y153" i="50"/>
  <c r="Y173" i="50" s="1"/>
  <c r="X188" i="50"/>
  <c r="Y168" i="50"/>
  <c r="Y188" i="50" s="1"/>
  <c r="R156" i="50"/>
  <c r="R176" i="50" s="1"/>
  <c r="Q176" i="50"/>
  <c r="R168" i="50"/>
  <c r="R188" i="50" s="1"/>
  <c r="Q188" i="50"/>
  <c r="R153" i="50"/>
  <c r="R173" i="50" s="1"/>
  <c r="Q173" i="50"/>
  <c r="Q177" i="50"/>
  <c r="R157" i="50"/>
  <c r="R177" i="50" s="1"/>
  <c r="R155" i="50"/>
  <c r="R175" i="50" s="1"/>
  <c r="Q175" i="50"/>
  <c r="G11" i="49"/>
  <c r="I95" i="50"/>
  <c r="H87" i="50"/>
  <c r="H84" i="50" s="1"/>
  <c r="U93" i="50"/>
  <c r="Y129" i="50"/>
  <c r="X110" i="50"/>
  <c r="J129" i="50"/>
  <c r="J189" i="50" s="1"/>
  <c r="I110" i="50"/>
  <c r="Q129" i="50"/>
  <c r="Q189" i="50" s="1"/>
  <c r="P110" i="50"/>
  <c r="W106" i="50"/>
  <c r="U15" i="49"/>
  <c r="H12" i="49"/>
  <c r="K169" i="50"/>
  <c r="J150" i="50"/>
  <c r="V12" i="49"/>
  <c r="J81" i="50"/>
  <c r="J106" i="50" s="1"/>
  <c r="N279" i="50"/>
  <c r="Y169" i="50"/>
  <c r="X189" i="50"/>
  <c r="X150" i="50"/>
  <c r="W54" i="53"/>
  <c r="I280" i="50"/>
  <c r="G54" i="53"/>
  <c r="L10" i="49"/>
  <c r="I106" i="50"/>
  <c r="N12" i="49"/>
  <c r="Q31" i="50"/>
  <c r="V87" i="50"/>
  <c r="V62" i="50"/>
  <c r="P12" i="50"/>
  <c r="Q13" i="50"/>
  <c r="O9" i="50"/>
  <c r="N11" i="49" s="1"/>
  <c r="Q19" i="50"/>
  <c r="P18" i="50"/>
  <c r="W63" i="50"/>
  <c r="W88" i="50" s="1"/>
  <c r="W87" i="50" s="1"/>
  <c r="R13" i="49"/>
  <c r="U87" i="50"/>
  <c r="M281" i="50"/>
  <c r="K13" i="49"/>
  <c r="U59" i="50"/>
  <c r="T14" i="49" s="1"/>
  <c r="N280" i="50"/>
  <c r="V68" i="50"/>
  <c r="W96" i="50"/>
  <c r="W107" i="50"/>
  <c r="V96" i="50"/>
  <c r="V93" i="50" s="1"/>
  <c r="W9" i="50"/>
  <c r="V11" i="49" s="1"/>
  <c r="H280" i="50"/>
  <c r="O280" i="50"/>
  <c r="R280" i="50"/>
  <c r="M282" i="50"/>
  <c r="Q72" i="50"/>
  <c r="Q80" i="50"/>
  <c r="Q81" i="50"/>
  <c r="N15" i="49"/>
  <c r="P106" i="50"/>
  <c r="W60" i="50"/>
  <c r="V85" i="50"/>
  <c r="Q83" i="50"/>
  <c r="P108" i="50"/>
  <c r="Q66" i="50"/>
  <c r="P91" i="50"/>
  <c r="Q73" i="50"/>
  <c r="Q61" i="50"/>
  <c r="P86" i="50"/>
  <c r="O88" i="50"/>
  <c r="O87" i="50" s="1"/>
  <c r="P63" i="50"/>
  <c r="O62" i="50"/>
  <c r="N84" i="50"/>
  <c r="N282" i="50" s="1"/>
  <c r="Q79" i="50"/>
  <c r="X72" i="50"/>
  <c r="W97" i="50"/>
  <c r="Q82" i="50"/>
  <c r="O68" i="50"/>
  <c r="O94" i="50"/>
  <c r="O93" i="50" s="1"/>
  <c r="P69" i="50"/>
  <c r="Q71" i="50"/>
  <c r="P96" i="50"/>
  <c r="Q74" i="50"/>
  <c r="Q70" i="50"/>
  <c r="P95" i="50"/>
  <c r="Q65" i="50"/>
  <c r="P90" i="50"/>
  <c r="Q60" i="50"/>
  <c r="P85" i="50"/>
  <c r="N59" i="50"/>
  <c r="M14" i="49" s="1"/>
  <c r="Y81" i="50"/>
  <c r="W15" i="49" s="1"/>
  <c r="V15" i="49"/>
  <c r="V279" i="50"/>
  <c r="T10" i="49"/>
  <c r="H279" i="50"/>
  <c r="F10" i="49"/>
  <c r="G281" i="50"/>
  <c r="E13" i="49"/>
  <c r="H59" i="50"/>
  <c r="G14" i="49" s="1"/>
  <c r="I9" i="50"/>
  <c r="Y13" i="50"/>
  <c r="X12" i="50"/>
  <c r="Y23" i="50"/>
  <c r="Y98" i="50" s="1"/>
  <c r="X98" i="50"/>
  <c r="K16" i="50"/>
  <c r="K91" i="50" s="1"/>
  <c r="J91" i="50"/>
  <c r="Y19" i="50"/>
  <c r="X18" i="50"/>
  <c r="R165" i="50"/>
  <c r="R185" i="50" s="1"/>
  <c r="Q185" i="50"/>
  <c r="K30" i="50"/>
  <c r="K105" i="50" s="1"/>
  <c r="K31" i="50"/>
  <c r="J69" i="50"/>
  <c r="J94" i="50" s="1"/>
  <c r="I68" i="50"/>
  <c r="K23" i="50"/>
  <c r="K98" i="50" s="1"/>
  <c r="R169" i="50"/>
  <c r="K21" i="50"/>
  <c r="K96" i="50" s="1"/>
  <c r="J96" i="50"/>
  <c r="K11" i="50"/>
  <c r="K86" i="50" s="1"/>
  <c r="J86" i="50"/>
  <c r="K15" i="50"/>
  <c r="K90" i="50" s="1"/>
  <c r="J90" i="50"/>
  <c r="Y11" i="50"/>
  <c r="Y86" i="50" s="1"/>
  <c r="X86" i="50"/>
  <c r="Y20" i="50"/>
  <c r="Y95" i="50" s="1"/>
  <c r="X95" i="50"/>
  <c r="R163" i="50"/>
  <c r="R183" i="50" s="1"/>
  <c r="Q183" i="50"/>
  <c r="K13" i="50"/>
  <c r="J12" i="50"/>
  <c r="Y16" i="50"/>
  <c r="Y91" i="50" s="1"/>
  <c r="X91" i="50"/>
  <c r="K19" i="50"/>
  <c r="R161" i="50"/>
  <c r="R181" i="50" s="1"/>
  <c r="Q181" i="50"/>
  <c r="K10" i="50"/>
  <c r="Y24" i="50"/>
  <c r="K20" i="50"/>
  <c r="K95" i="50" s="1"/>
  <c r="J95" i="50"/>
  <c r="R160" i="50"/>
  <c r="R180" i="50" s="1"/>
  <c r="Q180" i="50"/>
  <c r="Y30" i="50"/>
  <c r="Y105" i="50" s="1"/>
  <c r="R162" i="50"/>
  <c r="R182" i="50" s="1"/>
  <c r="Q182" i="50"/>
  <c r="P171" i="50"/>
  <c r="Q151" i="50"/>
  <c r="P150" i="50"/>
  <c r="W68" i="50"/>
  <c r="X69" i="50"/>
  <c r="X94" i="50" s="1"/>
  <c r="Y21" i="50"/>
  <c r="Y96" i="50" s="1"/>
  <c r="X96" i="50"/>
  <c r="Q187" i="50"/>
  <c r="R167" i="50"/>
  <c r="R187" i="50" s="1"/>
  <c r="Y33" i="50"/>
  <c r="Y108" i="50" s="1"/>
  <c r="X108" i="50"/>
  <c r="R164" i="50"/>
  <c r="R184" i="50" s="1"/>
  <c r="Q184" i="50"/>
  <c r="Y31" i="50"/>
  <c r="X106" i="50"/>
  <c r="J60" i="50"/>
  <c r="Y32" i="50"/>
  <c r="Y107" i="50" s="1"/>
  <c r="X107" i="50"/>
  <c r="I62" i="50"/>
  <c r="J63" i="50"/>
  <c r="K32" i="50"/>
  <c r="K107" i="50" s="1"/>
  <c r="J107" i="50"/>
  <c r="K72" i="50"/>
  <c r="K33" i="50"/>
  <c r="K108" i="50" s="1"/>
  <c r="J108" i="50"/>
  <c r="I85" i="50"/>
  <c r="Y10" i="50"/>
  <c r="I88" i="50"/>
  <c r="I87" i="50" s="1"/>
  <c r="Y29" i="50"/>
  <c r="Q178" i="50"/>
  <c r="R158" i="50"/>
  <c r="R178" i="50" s="1"/>
  <c r="I94" i="50"/>
  <c r="R166" i="50"/>
  <c r="R186" i="50" s="1"/>
  <c r="Q186" i="50"/>
  <c r="L46" i="39"/>
  <c r="S46" i="39" s="1"/>
  <c r="E59" i="39"/>
  <c r="P46" i="39"/>
  <c r="W46" i="39" s="1"/>
  <c r="I59" i="39"/>
  <c r="J46" i="39"/>
  <c r="Q46" i="39" s="1"/>
  <c r="C59" i="39"/>
  <c r="N46" i="39"/>
  <c r="U46" i="39" s="1"/>
  <c r="G59" i="39"/>
  <c r="M46" i="39"/>
  <c r="T46" i="39" s="1"/>
  <c r="F59" i="39"/>
  <c r="H15" i="21" l="1"/>
  <c r="M284" i="50"/>
  <c r="G284" i="50"/>
  <c r="B7" i="48"/>
  <c r="M59" i="39"/>
  <c r="F65" i="39"/>
  <c r="L59" i="39"/>
  <c r="E65" i="39"/>
  <c r="J59" i="39"/>
  <c r="C65" i="39"/>
  <c r="N59" i="39"/>
  <c r="G65" i="39"/>
  <c r="P59" i="39"/>
  <c r="I65" i="39"/>
  <c r="Y110" i="50"/>
  <c r="P170" i="50"/>
  <c r="Y106" i="50"/>
  <c r="R17" i="50"/>
  <c r="R92" i="50" s="1"/>
  <c r="Q92" i="50"/>
  <c r="K17" i="50"/>
  <c r="K92" i="50" s="1"/>
  <c r="J92" i="50"/>
  <c r="H13" i="21"/>
  <c r="Q104" i="50"/>
  <c r="R29" i="50"/>
  <c r="R26" i="50"/>
  <c r="R101" i="50" s="1"/>
  <c r="Q101" i="50"/>
  <c r="K29" i="50"/>
  <c r="K104" i="50" s="1"/>
  <c r="J104" i="50"/>
  <c r="X74" i="50"/>
  <c r="W99" i="50"/>
  <c r="R28" i="50"/>
  <c r="R103" i="50" s="1"/>
  <c r="Q103" i="50"/>
  <c r="R27" i="50"/>
  <c r="R102" i="50" s="1"/>
  <c r="Q102" i="50"/>
  <c r="R119" i="50"/>
  <c r="R179" i="50" s="1"/>
  <c r="Q179" i="50"/>
  <c r="J97" i="50"/>
  <c r="J93" i="50" s="1"/>
  <c r="K22" i="50"/>
  <c r="K97" i="50" s="1"/>
  <c r="Q105" i="50"/>
  <c r="R30" i="50"/>
  <c r="Q97" i="50"/>
  <c r="R22" i="50"/>
  <c r="K24" i="50"/>
  <c r="K99" i="50" s="1"/>
  <c r="J99" i="50"/>
  <c r="K27" i="50"/>
  <c r="K102" i="50" s="1"/>
  <c r="J102" i="50"/>
  <c r="K28" i="50"/>
  <c r="K103" i="50" s="1"/>
  <c r="J103" i="50"/>
  <c r="K26" i="50"/>
  <c r="K101" i="50" s="1"/>
  <c r="J101" i="50"/>
  <c r="K25" i="50"/>
  <c r="K100" i="50" s="1"/>
  <c r="J100" i="50"/>
  <c r="R24" i="50"/>
  <c r="Q99" i="50"/>
  <c r="X79" i="50"/>
  <c r="W104" i="50"/>
  <c r="R25" i="50"/>
  <c r="R100" i="50" s="1"/>
  <c r="Q100" i="50"/>
  <c r="Q98" i="50"/>
  <c r="R23" i="50"/>
  <c r="K119" i="50"/>
  <c r="K179" i="50" s="1"/>
  <c r="J179" i="50"/>
  <c r="H282" i="50"/>
  <c r="I170" i="50"/>
  <c r="K112" i="50"/>
  <c r="K172" i="50" s="1"/>
  <c r="J172" i="50"/>
  <c r="K116" i="50"/>
  <c r="K176" i="50" s="1"/>
  <c r="J176" i="50"/>
  <c r="K128" i="50"/>
  <c r="K188" i="50" s="1"/>
  <c r="J188" i="50"/>
  <c r="K120" i="50"/>
  <c r="K180" i="50" s="1"/>
  <c r="J180" i="50"/>
  <c r="K127" i="50"/>
  <c r="K187" i="50" s="1"/>
  <c r="J187" i="50"/>
  <c r="K111" i="50"/>
  <c r="K171" i="50" s="1"/>
  <c r="J171" i="50"/>
  <c r="K113" i="50"/>
  <c r="K173" i="50" s="1"/>
  <c r="J173" i="50"/>
  <c r="K124" i="50"/>
  <c r="K184" i="50" s="1"/>
  <c r="J184" i="50"/>
  <c r="X170" i="50"/>
  <c r="I93" i="50"/>
  <c r="I84" i="50" s="1"/>
  <c r="K125" i="50"/>
  <c r="K185" i="50" s="1"/>
  <c r="J185" i="50"/>
  <c r="K123" i="50"/>
  <c r="K183" i="50" s="1"/>
  <c r="J183" i="50"/>
  <c r="K115" i="50"/>
  <c r="K175" i="50" s="1"/>
  <c r="J175" i="50"/>
  <c r="K118" i="50"/>
  <c r="K178" i="50" s="1"/>
  <c r="J178" i="50"/>
  <c r="K117" i="50"/>
  <c r="K177" i="50" s="1"/>
  <c r="J177" i="50"/>
  <c r="K126" i="50"/>
  <c r="K186" i="50" s="1"/>
  <c r="J186" i="50"/>
  <c r="K122" i="50"/>
  <c r="K182" i="50" s="1"/>
  <c r="J182" i="50"/>
  <c r="K121" i="50"/>
  <c r="K181" i="50" s="1"/>
  <c r="J181" i="50"/>
  <c r="U84" i="50"/>
  <c r="K129" i="50"/>
  <c r="J110" i="50"/>
  <c r="H11" i="49"/>
  <c r="R129" i="50"/>
  <c r="R110" i="50" s="1"/>
  <c r="Q110" i="50"/>
  <c r="H15" i="49"/>
  <c r="K81" i="50"/>
  <c r="I15" i="49" s="1"/>
  <c r="G10" i="49"/>
  <c r="U10" i="49"/>
  <c r="S13" i="49"/>
  <c r="Y189" i="50"/>
  <c r="Y170" i="50" s="1"/>
  <c r="Y150" i="50"/>
  <c r="K150" i="50"/>
  <c r="W62" i="50"/>
  <c r="W59" i="50" s="1"/>
  <c r="V14" i="49" s="1"/>
  <c r="V59" i="50"/>
  <c r="U14" i="49" s="1"/>
  <c r="O12" i="49"/>
  <c r="R31" i="50"/>
  <c r="P12" i="49" s="1"/>
  <c r="X63" i="50"/>
  <c r="X88" i="50" s="1"/>
  <c r="X87" i="50" s="1"/>
  <c r="R13" i="50"/>
  <c r="R12" i="50" s="1"/>
  <c r="Q12" i="50"/>
  <c r="R19" i="50"/>
  <c r="Q18" i="50"/>
  <c r="M10" i="49"/>
  <c r="O279" i="50"/>
  <c r="P9" i="50"/>
  <c r="O11" i="49" s="1"/>
  <c r="W93" i="50"/>
  <c r="W279" i="50"/>
  <c r="V84" i="50"/>
  <c r="P94" i="50"/>
  <c r="P93" i="50" s="1"/>
  <c r="Q69" i="50"/>
  <c r="P68" i="50"/>
  <c r="R82" i="50"/>
  <c r="R107" i="50" s="1"/>
  <c r="Q107" i="50"/>
  <c r="Y72" i="50"/>
  <c r="Y97" i="50" s="1"/>
  <c r="X97" i="50"/>
  <c r="X93" i="50" s="1"/>
  <c r="Q63" i="50"/>
  <c r="P62" i="50"/>
  <c r="P88" i="50"/>
  <c r="P87" i="50" s="1"/>
  <c r="R81" i="50"/>
  <c r="O15" i="49"/>
  <c r="Q106" i="50"/>
  <c r="R80" i="50"/>
  <c r="R72" i="50"/>
  <c r="N281" i="50"/>
  <c r="N284" i="50" s="1"/>
  <c r="L13" i="49"/>
  <c r="R60" i="50"/>
  <c r="R85" i="50" s="1"/>
  <c r="Q85" i="50"/>
  <c r="R65" i="50"/>
  <c r="R90" i="50" s="1"/>
  <c r="Q90" i="50"/>
  <c r="R70" i="50"/>
  <c r="R95" i="50" s="1"/>
  <c r="Q95" i="50"/>
  <c r="R74" i="50"/>
  <c r="R71" i="50"/>
  <c r="R96" i="50" s="1"/>
  <c r="Q96" i="50"/>
  <c r="R79" i="50"/>
  <c r="O59" i="50"/>
  <c r="N14" i="49" s="1"/>
  <c r="O84" i="50"/>
  <c r="O282" i="50" s="1"/>
  <c r="R61" i="50"/>
  <c r="R86" i="50" s="1"/>
  <c r="Q86" i="50"/>
  <c r="R73" i="50"/>
  <c r="R66" i="50"/>
  <c r="R91" i="50" s="1"/>
  <c r="Q91" i="50"/>
  <c r="R83" i="50"/>
  <c r="R108" i="50" s="1"/>
  <c r="Q108" i="50"/>
  <c r="X60" i="50"/>
  <c r="W85" i="50"/>
  <c r="I59" i="50"/>
  <c r="H14" i="49" s="1"/>
  <c r="W12" i="49"/>
  <c r="I12" i="49"/>
  <c r="H281" i="50"/>
  <c r="F13" i="49"/>
  <c r="I279" i="50"/>
  <c r="X9" i="50"/>
  <c r="W11" i="49" s="1"/>
  <c r="J9" i="50"/>
  <c r="K60" i="50"/>
  <c r="J85" i="50"/>
  <c r="Y69" i="50"/>
  <c r="X68" i="50"/>
  <c r="R151" i="50"/>
  <c r="Q171" i="50"/>
  <c r="Q150" i="50"/>
  <c r="Y12" i="50"/>
  <c r="K12" i="50"/>
  <c r="J62" i="50"/>
  <c r="K63" i="50"/>
  <c r="K62" i="50" s="1"/>
  <c r="J88" i="50"/>
  <c r="J87" i="50" s="1"/>
  <c r="K69" i="50"/>
  <c r="K68" i="50" s="1"/>
  <c r="J68" i="50"/>
  <c r="Y18" i="50"/>
  <c r="I8" i="39"/>
  <c r="P8" i="39" s="1"/>
  <c r="W8" i="39" s="1"/>
  <c r="H8" i="39"/>
  <c r="G8" i="39"/>
  <c r="N8" i="39" s="1"/>
  <c r="U8" i="39" s="1"/>
  <c r="F8" i="39"/>
  <c r="M8" i="39" s="1"/>
  <c r="T8" i="39" s="1"/>
  <c r="E8" i="39"/>
  <c r="L8" i="39" s="1"/>
  <c r="S8" i="39" s="1"/>
  <c r="D8" i="39"/>
  <c r="C8" i="39"/>
  <c r="J8" i="39" s="1"/>
  <c r="Q8" i="39" s="1"/>
  <c r="I15" i="21" l="1"/>
  <c r="H284" i="50"/>
  <c r="P59" i="50"/>
  <c r="O14" i="49" s="1"/>
  <c r="K18" i="50"/>
  <c r="K9" i="50" s="1"/>
  <c r="Q170" i="50"/>
  <c r="I13" i="21"/>
  <c r="R97" i="50"/>
  <c r="Y74" i="50"/>
  <c r="Y99" i="50" s="1"/>
  <c r="X99" i="50"/>
  <c r="R99" i="50"/>
  <c r="R104" i="50"/>
  <c r="R98" i="50"/>
  <c r="R105" i="50"/>
  <c r="R18" i="50"/>
  <c r="R9" i="50" s="1"/>
  <c r="Y79" i="50"/>
  <c r="Y104" i="50" s="1"/>
  <c r="X104" i="50"/>
  <c r="I282" i="50"/>
  <c r="K110" i="50"/>
  <c r="J170" i="50"/>
  <c r="I11" i="49"/>
  <c r="K106" i="50"/>
  <c r="K189" i="50"/>
  <c r="K170" i="50" s="1"/>
  <c r="R189" i="50"/>
  <c r="N13" i="49"/>
  <c r="I281" i="50"/>
  <c r="X62" i="50"/>
  <c r="X59" i="50" s="1"/>
  <c r="W14" i="49" s="1"/>
  <c r="T13" i="49"/>
  <c r="W84" i="50"/>
  <c r="Y63" i="50"/>
  <c r="Y62" i="50" s="1"/>
  <c r="N10" i="49"/>
  <c r="P279" i="50"/>
  <c r="Q9" i="50"/>
  <c r="P11" i="49" s="1"/>
  <c r="P84" i="50"/>
  <c r="P282" i="50" s="1"/>
  <c r="Y68" i="50"/>
  <c r="P15" i="49"/>
  <c r="R106" i="50"/>
  <c r="Y60" i="50"/>
  <c r="Y85" i="50" s="1"/>
  <c r="X85" i="50"/>
  <c r="M13" i="49"/>
  <c r="O281" i="50"/>
  <c r="O284" i="50" s="1"/>
  <c r="Q88" i="50"/>
  <c r="Q87" i="50" s="1"/>
  <c r="R63" i="50"/>
  <c r="Q62" i="50"/>
  <c r="Q94" i="50"/>
  <c r="Q93" i="50" s="1"/>
  <c r="Q68" i="50"/>
  <c r="R69" i="50"/>
  <c r="G13" i="49"/>
  <c r="X279" i="50"/>
  <c r="V10" i="49"/>
  <c r="U13" i="49"/>
  <c r="J279" i="50"/>
  <c r="H10" i="49"/>
  <c r="Y94" i="50"/>
  <c r="Y93" i="50" s="1"/>
  <c r="J59" i="50"/>
  <c r="I14" i="49" s="1"/>
  <c r="K88" i="50"/>
  <c r="K87" i="50" s="1"/>
  <c r="J84" i="50"/>
  <c r="R171" i="50"/>
  <c r="R150" i="50"/>
  <c r="Y9" i="50"/>
  <c r="K85" i="50"/>
  <c r="K59" i="50"/>
  <c r="K94" i="50"/>
  <c r="K93" i="50" s="1"/>
  <c r="K8" i="39"/>
  <c r="R8" i="39" s="1"/>
  <c r="O8" i="39"/>
  <c r="V8" i="39" s="1"/>
  <c r="J15" i="21" l="1"/>
  <c r="AA9" i="50"/>
  <c r="I284" i="50"/>
  <c r="P281" i="50"/>
  <c r="P284" i="50" s="1"/>
  <c r="X84" i="50"/>
  <c r="J13" i="21"/>
  <c r="J282" i="50"/>
  <c r="R170" i="50"/>
  <c r="Y88" i="50"/>
  <c r="Y87" i="50" s="1"/>
  <c r="Y84" i="50" s="1"/>
  <c r="P10" i="49"/>
  <c r="R279" i="50"/>
  <c r="Q279" i="50"/>
  <c r="O10" i="49"/>
  <c r="Q84" i="50"/>
  <c r="Q282" i="50" s="1"/>
  <c r="Y59" i="50"/>
  <c r="R68" i="50"/>
  <c r="R94" i="50"/>
  <c r="R93" i="50" s="1"/>
  <c r="R62" i="50"/>
  <c r="R88" i="50"/>
  <c r="R87" i="50" s="1"/>
  <c r="Q59" i="50"/>
  <c r="P14" i="49" s="1"/>
  <c r="Y279" i="50"/>
  <c r="W10" i="49"/>
  <c r="V13" i="49"/>
  <c r="K281" i="50"/>
  <c r="I13" i="49"/>
  <c r="J281" i="50"/>
  <c r="H13" i="49"/>
  <c r="K279" i="50"/>
  <c r="I10" i="49"/>
  <c r="K84" i="50"/>
  <c r="J284" i="50" l="1"/>
  <c r="W13" i="49"/>
  <c r="R59" i="50"/>
  <c r="R84" i="50"/>
  <c r="R282" i="50" s="1"/>
  <c r="O13" i="49"/>
  <c r="Q281" i="50"/>
  <c r="Q284" i="50" s="1"/>
  <c r="K282" i="50"/>
  <c r="K284" i="50" s="1"/>
  <c r="R281" i="50" l="1"/>
  <c r="R284" i="50" s="1"/>
  <c r="P13" i="49"/>
  <c r="J12" i="21"/>
  <c r="I12" i="21"/>
  <c r="H12" i="21"/>
  <c r="G12" i="21"/>
  <c r="F12" i="21"/>
  <c r="J7" i="20"/>
  <c r="I7" i="20"/>
  <c r="H7" i="20"/>
  <c r="G7" i="20"/>
  <c r="F7" i="20"/>
  <c r="J8" i="17"/>
  <c r="Q8" i="17" s="1"/>
  <c r="X8" i="17" s="1"/>
  <c r="I8" i="17"/>
  <c r="P8" i="17" s="1"/>
  <c r="W8" i="17" s="1"/>
  <c r="H8" i="17"/>
  <c r="O8" i="17" s="1"/>
  <c r="V8" i="17" s="1"/>
  <c r="G8" i="17"/>
  <c r="N8" i="17" s="1"/>
  <c r="U8" i="17" s="1"/>
  <c r="F8" i="17"/>
  <c r="M8" i="17" s="1"/>
  <c r="T8" i="17" s="1"/>
  <c r="I7" i="16"/>
  <c r="H7" i="16"/>
  <c r="G7" i="16"/>
  <c r="F7" i="16"/>
  <c r="E7" i="16"/>
  <c r="D7" i="16"/>
  <c r="C7" i="16"/>
  <c r="I7" i="7"/>
  <c r="I59" i="7" s="1"/>
  <c r="H7" i="7"/>
  <c r="H59" i="7" s="1"/>
  <c r="G7" i="7"/>
  <c r="G59" i="7" s="1"/>
  <c r="F7" i="7"/>
  <c r="F59" i="7" s="1"/>
  <c r="E7" i="7"/>
  <c r="E59" i="7" s="1"/>
  <c r="D7" i="7"/>
  <c r="D59" i="7" s="1"/>
  <c r="C7" i="7"/>
  <c r="C59" i="7" s="1"/>
  <c r="L6" i="2"/>
  <c r="K6" i="2"/>
  <c r="J6" i="2"/>
  <c r="I6" i="2"/>
  <c r="H6" i="2"/>
  <c r="G6" i="2"/>
  <c r="F6" i="2"/>
  <c r="E6" i="2"/>
  <c r="J7" i="7" l="1"/>
  <c r="J59" i="7" s="1"/>
  <c r="C35" i="7"/>
  <c r="C47" i="7" s="1"/>
  <c r="N7" i="7"/>
  <c r="N59" i="7" s="1"/>
  <c r="G35" i="7"/>
  <c r="G47" i="7" s="1"/>
  <c r="K7" i="7"/>
  <c r="K59" i="7" s="1"/>
  <c r="D35" i="7"/>
  <c r="D47" i="7" s="1"/>
  <c r="O7" i="7"/>
  <c r="O59" i="7" s="1"/>
  <c r="H35" i="7"/>
  <c r="H47" i="7" s="1"/>
  <c r="M7" i="7"/>
  <c r="M59" i="7" s="1"/>
  <c r="F35" i="7"/>
  <c r="F47" i="7" s="1"/>
  <c r="L7" i="7"/>
  <c r="L59" i="7" s="1"/>
  <c r="E35" i="7"/>
  <c r="E47" i="7" s="1"/>
  <c r="P7" i="7"/>
  <c r="P59" i="7" s="1"/>
  <c r="I35" i="7"/>
  <c r="I47" i="7" s="1"/>
  <c r="G22" i="17"/>
  <c r="H22" i="17"/>
  <c r="I22" i="17"/>
  <c r="F22" i="17"/>
  <c r="J22" i="17"/>
  <c r="B56" i="35"/>
  <c r="B116" i="54" s="1"/>
  <c r="A23" i="16" s="1"/>
  <c r="A50" i="47" s="1"/>
  <c r="A53"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i="7" s="1"/>
  <c r="L35" i="7"/>
  <c r="L47" i="7" s="1"/>
  <c r="V7" i="7"/>
  <c r="V35" i="7" s="1"/>
  <c r="O35" i="7"/>
  <c r="O47" i="7" s="1"/>
  <c r="U7" i="7"/>
  <c r="U35" i="7" s="1"/>
  <c r="N35" i="7"/>
  <c r="N47" i="7" s="1"/>
  <c r="W7" i="7"/>
  <c r="W35" i="7" s="1"/>
  <c r="P35" i="7"/>
  <c r="P47" i="7" s="1"/>
  <c r="T7" i="7"/>
  <c r="T35" i="7" s="1"/>
  <c r="M35" i="7"/>
  <c r="M47" i="7" s="1"/>
  <c r="R7" i="7"/>
  <c r="R35" i="7" s="1"/>
  <c r="K35" i="7"/>
  <c r="K47" i="7" s="1"/>
  <c r="Q7" i="7"/>
  <c r="Q35" i="7" s="1"/>
  <c r="J35" i="7"/>
  <c r="J47" i="7" s="1"/>
  <c r="A5" i="62"/>
  <c r="A5" i="22"/>
  <c r="A5" i="20"/>
  <c r="A5" i="17"/>
  <c r="A4" i="47"/>
  <c r="A4" i="54"/>
  <c r="A4" i="51"/>
  <c r="A4" i="39"/>
  <c r="A5" i="60"/>
  <c r="A5" i="21"/>
  <c r="A5" i="49"/>
  <c r="A4" i="48"/>
  <c r="A4" i="16"/>
  <c r="A4" i="53"/>
  <c r="A4" i="50"/>
  <c r="A5" i="41"/>
  <c r="A6" i="58"/>
  <c r="A4" i="2"/>
  <c r="E101" i="1"/>
  <c r="E91" i="1"/>
  <c r="E47" i="1"/>
  <c r="E42" i="1"/>
  <c r="E37" i="1"/>
  <c r="C41" i="2" l="1"/>
  <c r="E95" i="1"/>
  <c r="C179" i="62"/>
  <c r="J91" i="1"/>
  <c r="R47" i="1"/>
  <c r="Q47" i="1"/>
  <c r="P47" i="1"/>
  <c r="O47" i="1"/>
  <c r="N47" i="1"/>
  <c r="M47" i="1"/>
  <c r="R42" i="1"/>
  <c r="Q42" i="1"/>
  <c r="P42" i="1"/>
  <c r="O42" i="1"/>
  <c r="N42" i="1"/>
  <c r="M42" i="1"/>
  <c r="R37" i="1"/>
  <c r="Q37" i="1"/>
  <c r="P37" i="1"/>
  <c r="O37" i="1"/>
  <c r="N37" i="1"/>
  <c r="M37" i="1"/>
  <c r="R32" i="1"/>
  <c r="Q32" i="1"/>
  <c r="P32" i="1"/>
  <c r="O32" i="1"/>
  <c r="N32" i="1"/>
  <c r="M32" i="1"/>
  <c r="L47" i="1" l="1"/>
  <c r="L42" i="1"/>
  <c r="L37" i="1"/>
  <c r="L32" i="1"/>
  <c r="J9" i="20" l="1"/>
  <c r="I65" i="7"/>
  <c r="H65" i="7"/>
  <c r="G65" i="7"/>
  <c r="F65" i="7"/>
  <c r="E65" i="7"/>
  <c r="D65" i="7"/>
  <c r="D60" i="7" l="1"/>
  <c r="D64" i="7" s="1"/>
  <c r="D66" i="7" l="1"/>
  <c r="E60" i="7" l="1"/>
  <c r="E66" i="7" l="1"/>
  <c r="E64" i="7" s="1"/>
  <c r="F60" i="7" l="1"/>
  <c r="F66" i="7" l="1"/>
  <c r="G60" i="7" s="1"/>
  <c r="F64" i="7" l="1"/>
  <c r="G66" i="7"/>
  <c r="H60" i="7" s="1"/>
  <c r="O13" i="17"/>
  <c r="N13" i="17"/>
  <c r="Q13" i="17"/>
  <c r="M13" i="17"/>
  <c r="P13" i="17"/>
  <c r="G64" i="7" l="1"/>
  <c r="H66" i="7"/>
  <c r="I60" i="7" s="1"/>
  <c r="I9" i="20"/>
  <c r="H9" i="20"/>
  <c r="G9" i="20"/>
  <c r="F9" i="20"/>
  <c r="I66" i="7" l="1"/>
  <c r="I64" i="7" s="1"/>
  <c r="H64" i="7"/>
  <c r="F11" i="2"/>
  <c r="G11" i="2"/>
  <c r="H11" i="2"/>
  <c r="I11" i="2"/>
  <c r="J11" i="2"/>
  <c r="K11" i="2"/>
  <c r="E11" i="2"/>
  <c r="F33" i="2" l="1"/>
  <c r="G33" i="2"/>
  <c r="H33" i="2"/>
  <c r="I33" i="2"/>
  <c r="J33" i="2"/>
  <c r="K33" i="2"/>
  <c r="F34" i="2"/>
  <c r="G34" i="2"/>
  <c r="H34" i="2"/>
  <c r="I34" i="2"/>
  <c r="J34" i="2"/>
  <c r="K34" i="2"/>
  <c r="F35" i="2"/>
  <c r="G35" i="2"/>
  <c r="F36" i="2"/>
  <c r="G36" i="2"/>
  <c r="H36" i="2"/>
  <c r="I36" i="2"/>
  <c r="J36" i="2"/>
  <c r="K36" i="2"/>
  <c r="E36" i="2"/>
  <c r="E35" i="2"/>
  <c r="E34" i="2"/>
  <c r="E33" i="2"/>
  <c r="F91" i="1"/>
  <c r="G91" i="1"/>
  <c r="H91" i="1"/>
  <c r="I91" i="1"/>
  <c r="K91" i="1"/>
  <c r="F101" i="1"/>
  <c r="G101" i="1"/>
  <c r="H101" i="1"/>
  <c r="I101" i="1"/>
  <c r="J101" i="1"/>
  <c r="K101" i="1"/>
  <c r="F22" i="2"/>
  <c r="G22" i="2"/>
  <c r="H22" i="2"/>
  <c r="I22" i="2"/>
  <c r="J22" i="2"/>
  <c r="K22" i="2"/>
  <c r="F23" i="2"/>
  <c r="G23" i="2"/>
  <c r="H23" i="2"/>
  <c r="I23" i="2"/>
  <c r="J23" i="2"/>
  <c r="K23" i="2"/>
  <c r="F24" i="2"/>
  <c r="G24" i="2"/>
  <c r="H24" i="2"/>
  <c r="I24" i="2"/>
  <c r="J24" i="2"/>
  <c r="K24" i="2"/>
  <c r="E24" i="2"/>
  <c r="E23" i="2"/>
  <c r="E22" i="2"/>
  <c r="F16" i="2"/>
  <c r="G16" i="2"/>
  <c r="H16" i="2"/>
  <c r="I16" i="2"/>
  <c r="J16" i="2"/>
  <c r="K16" i="2"/>
  <c r="F17" i="2"/>
  <c r="G17" i="2"/>
  <c r="H17" i="2"/>
  <c r="I17" i="2"/>
  <c r="J17" i="2"/>
  <c r="K17" i="2"/>
  <c r="F18" i="2"/>
  <c r="G18" i="2"/>
  <c r="H18" i="2"/>
  <c r="I18" i="2"/>
  <c r="J18" i="2"/>
  <c r="K18" i="2"/>
  <c r="F20" i="2"/>
  <c r="G20" i="2"/>
  <c r="H20" i="2"/>
  <c r="I20" i="2"/>
  <c r="J20" i="2"/>
  <c r="K20" i="2"/>
  <c r="E20" i="2"/>
  <c r="E18" i="2"/>
  <c r="E17" i="2"/>
  <c r="E16" i="2"/>
  <c r="H95" i="1" l="1"/>
  <c r="H32" i="2" s="1"/>
  <c r="E32" i="2"/>
  <c r="I95" i="1"/>
  <c r="I32" i="2" s="1"/>
  <c r="K95" i="1"/>
  <c r="K32" i="2" s="1"/>
  <c r="G95" i="1"/>
  <c r="G32" i="2" s="1"/>
  <c r="J95" i="1"/>
  <c r="J32" i="2" s="1"/>
  <c r="F95" i="1"/>
  <c r="F32" i="2" s="1"/>
  <c r="F10" i="2"/>
  <c r="G10" i="2"/>
  <c r="H10" i="2"/>
  <c r="I10" i="2"/>
  <c r="J10" i="2"/>
  <c r="K10" i="2"/>
  <c r="E10" i="2"/>
  <c r="H32" i="1"/>
  <c r="I32" i="1"/>
  <c r="J32" i="1"/>
  <c r="K32" i="1"/>
  <c r="F37" i="1"/>
  <c r="G37" i="1"/>
  <c r="H37" i="1"/>
  <c r="I37" i="1"/>
  <c r="J37" i="1"/>
  <c r="K37" i="1"/>
  <c r="F42" i="1"/>
  <c r="G42" i="1"/>
  <c r="H42" i="1"/>
  <c r="I42" i="1"/>
  <c r="J42" i="1"/>
  <c r="K42" i="1"/>
  <c r="F47" i="1"/>
  <c r="G47" i="1"/>
  <c r="H47" i="1"/>
  <c r="I47" i="1"/>
  <c r="J47" i="1"/>
  <c r="K47" i="1"/>
  <c r="I17" i="16"/>
  <c r="H17" i="16"/>
  <c r="G17" i="16"/>
  <c r="F17" i="16"/>
  <c r="E17" i="16"/>
  <c r="D17" i="16"/>
  <c r="C17" i="16"/>
  <c r="C54" i="7"/>
  <c r="I53" i="7"/>
  <c r="H53" i="7"/>
  <c r="G53" i="7"/>
  <c r="F53" i="7"/>
  <c r="E53" i="7"/>
  <c r="D53" i="7"/>
  <c r="C53" i="7"/>
  <c r="X13" i="17"/>
  <c r="W13" i="17"/>
  <c r="V13" i="17"/>
  <c r="U13" i="17"/>
  <c r="T13" i="17"/>
  <c r="C52" i="7" l="1"/>
  <c r="D17" i="21"/>
  <c r="D18" i="21" s="1"/>
  <c r="C18" i="49"/>
  <c r="C16" i="49" s="1"/>
  <c r="Q18" i="49"/>
  <c r="Q16" i="49" s="1"/>
  <c r="J18" i="49"/>
  <c r="J16" i="49" s="1"/>
  <c r="K8" i="2"/>
  <c r="G8" i="2"/>
  <c r="I9" i="2"/>
  <c r="K9" i="2"/>
  <c r="G9" i="2"/>
  <c r="D48" i="7"/>
  <c r="I8" i="2"/>
  <c r="E8" i="2"/>
  <c r="J9" i="2"/>
  <c r="F9" i="2"/>
  <c r="H9" i="2"/>
  <c r="J8" i="2"/>
  <c r="F8" i="2"/>
  <c r="H8" i="2"/>
  <c r="E9" i="2"/>
  <c r="F7" i="2"/>
  <c r="G7" i="2"/>
  <c r="H7" i="2"/>
  <c r="I7" i="2"/>
  <c r="J7" i="2"/>
  <c r="K7" i="2"/>
  <c r="K17" i="49" l="1"/>
  <c r="D28" i="7"/>
  <c r="D32" i="7" s="1"/>
  <c r="K28" i="7"/>
  <c r="K32" i="7" s="1"/>
  <c r="R28" i="7"/>
  <c r="R32" i="7" s="1"/>
  <c r="R17" i="49"/>
  <c r="D17" i="49"/>
  <c r="D16" i="21"/>
  <c r="D28" i="21" s="1"/>
  <c r="D54" i="7"/>
  <c r="D52" i="7" s="1"/>
  <c r="J21" i="2"/>
  <c r="F21" i="2"/>
  <c r="E17" i="21" l="1"/>
  <c r="D56" i="53"/>
  <c r="D53" i="53" s="1"/>
  <c r="E12" i="20" s="1"/>
  <c r="R18" i="49"/>
  <c r="R16" i="49" s="1"/>
  <c r="D18" i="49"/>
  <c r="D16" i="49" s="1"/>
  <c r="K18" i="49"/>
  <c r="K16" i="49" s="1"/>
  <c r="D25" i="21"/>
  <c r="D27" i="21"/>
  <c r="E48" i="7"/>
  <c r="H21" i="2"/>
  <c r="G21" i="2"/>
  <c r="I21" i="2"/>
  <c r="K21" i="2"/>
  <c r="D29" i="21" l="1"/>
  <c r="E17" i="49"/>
  <c r="E28" i="7"/>
  <c r="E32" i="7" s="1"/>
  <c r="S17" i="49"/>
  <c r="L28" i="7"/>
  <c r="L32" i="7" s="1"/>
  <c r="L17" i="49"/>
  <c r="S28" i="7"/>
  <c r="S32" i="7" s="1"/>
  <c r="E18" i="21"/>
  <c r="E16" i="21"/>
  <c r="E54" i="7"/>
  <c r="E52" i="7" s="1"/>
  <c r="F17" i="21" l="1"/>
  <c r="F18" i="21" s="1"/>
  <c r="L18" i="49"/>
  <c r="L16" i="49" s="1"/>
  <c r="S18" i="49"/>
  <c r="S16" i="49" s="1"/>
  <c r="E18" i="49"/>
  <c r="E16" i="49" s="1"/>
  <c r="E25" i="21"/>
  <c r="E27" i="21"/>
  <c r="E28" i="21"/>
  <c r="F48" i="7"/>
  <c r="E56" i="53" l="1"/>
  <c r="E53" i="53" s="1"/>
  <c r="F12" i="20" s="1"/>
  <c r="E29" i="21"/>
  <c r="T28" i="7"/>
  <c r="T32" i="7" s="1"/>
  <c r="F17" i="49"/>
  <c r="M17" i="49"/>
  <c r="M28" i="7"/>
  <c r="M32" i="7" s="1"/>
  <c r="T17" i="49"/>
  <c r="F16" i="21"/>
  <c r="F25" i="21" s="1"/>
  <c r="F54" i="7"/>
  <c r="F52" i="7" s="1"/>
  <c r="G17" i="21" l="1"/>
  <c r="G16" i="21" s="1"/>
  <c r="F28" i="7"/>
  <c r="F32" i="7" s="1"/>
  <c r="F18" i="49"/>
  <c r="F16" i="49" s="1"/>
  <c r="T18" i="49"/>
  <c r="T16" i="49" s="1"/>
  <c r="M18" i="49"/>
  <c r="M16" i="49" s="1"/>
  <c r="F27" i="21"/>
  <c r="F28" i="21"/>
  <c r="G48" i="7"/>
  <c r="F29" i="2"/>
  <c r="J29" i="2"/>
  <c r="I29" i="2"/>
  <c r="K29" i="2"/>
  <c r="G29" i="2"/>
  <c r="H29" i="2"/>
  <c r="E21" i="2"/>
  <c r="F56" i="53" l="1"/>
  <c r="F53" i="53" s="1"/>
  <c r="G12" i="20" s="1"/>
  <c r="U17" i="49"/>
  <c r="N28" i="7"/>
  <c r="N32" i="7" s="1"/>
  <c r="U28" i="7"/>
  <c r="U32" i="7" s="1"/>
  <c r="G17" i="49"/>
  <c r="N17" i="49"/>
  <c r="G28" i="7"/>
  <c r="G32" i="7" s="1"/>
  <c r="F29" i="21"/>
  <c r="G18" i="21"/>
  <c r="G25" i="21" s="1"/>
  <c r="G27" i="21"/>
  <c r="G28" i="21"/>
  <c r="G54" i="7"/>
  <c r="G52" i="7" s="1"/>
  <c r="E29" i="2"/>
  <c r="H17" i="21" l="1"/>
  <c r="H18" i="21" s="1"/>
  <c r="N18" i="49"/>
  <c r="N16" i="49" s="1"/>
  <c r="G18" i="49"/>
  <c r="G16" i="49" s="1"/>
  <c r="U18" i="49"/>
  <c r="U16" i="49" s="1"/>
  <c r="G29" i="21"/>
  <c r="H48" i="7"/>
  <c r="G56" i="53" l="1"/>
  <c r="G53" i="53" s="1"/>
  <c r="H12" i="20" s="1"/>
  <c r="O17" i="49"/>
  <c r="H28" i="7"/>
  <c r="H32" i="7" s="1"/>
  <c r="O28" i="7"/>
  <c r="O32" i="7" s="1"/>
  <c r="V17" i="49"/>
  <c r="V28" i="7"/>
  <c r="V32" i="7" s="1"/>
  <c r="H17" i="49"/>
  <c r="H16" i="21"/>
  <c r="H25" i="21" s="1"/>
  <c r="H54" i="7"/>
  <c r="H52" i="7" s="1"/>
  <c r="I17" i="21" l="1"/>
  <c r="I18" i="21" s="1"/>
  <c r="V18" i="49"/>
  <c r="V16" i="49" s="1"/>
  <c r="H18" i="49"/>
  <c r="H16" i="49" s="1"/>
  <c r="O18" i="49"/>
  <c r="O16" i="49" s="1"/>
  <c r="H28" i="21"/>
  <c r="H27" i="21"/>
  <c r="I48" i="7"/>
  <c r="H56" i="53" l="1"/>
  <c r="H53" i="53" s="1"/>
  <c r="I12" i="20" s="1"/>
  <c r="I17" i="49"/>
  <c r="I28" i="7"/>
  <c r="I32" i="7" s="1"/>
  <c r="W17" i="49"/>
  <c r="P17" i="49"/>
  <c r="P28" i="7"/>
  <c r="P32" i="7" s="1"/>
  <c r="W28" i="7"/>
  <c r="W32" i="7" s="1"/>
  <c r="H29" i="21"/>
  <c r="I16" i="21"/>
  <c r="I54" i="7"/>
  <c r="I52" i="7" s="1"/>
  <c r="J17" i="21" l="1"/>
  <c r="J18" i="21" s="1"/>
  <c r="P18" i="49"/>
  <c r="P16" i="49" s="1"/>
  <c r="W18" i="49"/>
  <c r="W16" i="49" s="1"/>
  <c r="I18" i="49"/>
  <c r="I16" i="49" s="1"/>
  <c r="I25" i="21"/>
  <c r="I28" i="21"/>
  <c r="I27" i="21"/>
  <c r="I56" i="53" l="1"/>
  <c r="I53" i="53" s="1"/>
  <c r="J12" i="20" s="1"/>
  <c r="I29" i="21"/>
  <c r="J16" i="21"/>
  <c r="J25" i="21" s="1"/>
  <c r="J27" i="21" l="1"/>
  <c r="J28" i="21"/>
  <c r="J29" i="21" l="1"/>
  <c r="D61" i="53"/>
  <c r="C27" i="47" s="1"/>
  <c r="C25" i="48" s="1"/>
  <c r="E61" i="53"/>
  <c r="D27" i="47" s="1"/>
  <c r="F61" i="53"/>
  <c r="E27" i="47" s="1"/>
  <c r="G61" i="53"/>
  <c r="F27" i="47" s="1"/>
  <c r="H61" i="53"/>
  <c r="G27" i="47" s="1"/>
  <c r="I61" i="53"/>
  <c r="H27" i="47" s="1"/>
  <c r="H25" i="48" l="1"/>
  <c r="G25" i="48"/>
  <c r="F25" i="48"/>
  <c r="D25" i="48"/>
  <c r="E25" i="48"/>
  <c r="C57" i="53" l="1"/>
  <c r="C92" i="53" s="1"/>
  <c r="C103" i="53" s="1"/>
  <c r="C32" i="60" l="1"/>
  <c r="C35" i="60"/>
  <c r="C36" i="60"/>
  <c r="J11" i="53" l="1"/>
  <c r="K11" i="53"/>
  <c r="N11" i="53"/>
  <c r="M11" i="53"/>
  <c r="L11" i="53"/>
  <c r="P11" i="53"/>
  <c r="O11" i="54"/>
  <c r="O11" i="53"/>
  <c r="J58" i="53" l="1"/>
  <c r="J15" i="60" s="1"/>
  <c r="J29" i="60" l="1"/>
  <c r="AS29" i="60" s="1"/>
  <c r="AS15" i="60"/>
  <c r="J57" i="53"/>
  <c r="B26" i="47" l="1"/>
  <c r="J92" i="53"/>
  <c r="J103" i="53" s="1"/>
  <c r="J32" i="60"/>
  <c r="J35" i="60"/>
  <c r="J36" i="60"/>
  <c r="J84" i="53"/>
  <c r="E85" i="1" s="1"/>
  <c r="D14" i="20" l="1"/>
  <c r="D13" i="20" s="1"/>
  <c r="D20" i="20" s="1"/>
  <c r="J20" i="49" s="1"/>
  <c r="J21" i="49" s="1"/>
  <c r="AS32" i="60"/>
  <c r="AS36" i="60"/>
  <c r="AS35" i="60"/>
  <c r="C11" i="16" l="1"/>
  <c r="C13" i="16" s="1"/>
  <c r="C19" i="16" s="1"/>
  <c r="E27" i="2" l="1"/>
  <c r="U58" i="53"/>
  <c r="S58" i="53"/>
  <c r="L58" i="53"/>
  <c r="T58" i="53"/>
  <c r="E58" i="53"/>
  <c r="H58" i="53"/>
  <c r="W58" i="53"/>
  <c r="O58" i="53"/>
  <c r="P58" i="53"/>
  <c r="V58" i="53"/>
  <c r="M58" i="53"/>
  <c r="N58" i="53"/>
  <c r="I58" i="53"/>
  <c r="F58" i="53"/>
  <c r="G58" i="53"/>
  <c r="P57" i="53" l="1"/>
  <c r="P15" i="60"/>
  <c r="P29" i="60" s="1"/>
  <c r="K57" i="53"/>
  <c r="K15" i="60"/>
  <c r="K29" i="60" s="1"/>
  <c r="N57" i="53"/>
  <c r="N15" i="60"/>
  <c r="N29" i="60" s="1"/>
  <c r="N35" i="60" s="1"/>
  <c r="U57" i="53"/>
  <c r="U92" i="53" s="1"/>
  <c r="U103" i="53" s="1"/>
  <c r="U15" i="60"/>
  <c r="U29" i="60" s="1"/>
  <c r="M57" i="53"/>
  <c r="M15" i="60"/>
  <c r="M29" i="60" s="1"/>
  <c r="L57" i="53"/>
  <c r="L15" i="60"/>
  <c r="L29" i="60" s="1"/>
  <c r="R57" i="53"/>
  <c r="R92" i="53" s="1"/>
  <c r="R103" i="53" s="1"/>
  <c r="R15" i="60"/>
  <c r="R29" i="60" s="1"/>
  <c r="O57" i="53"/>
  <c r="O92" i="53" s="1"/>
  <c r="O103" i="53" s="1"/>
  <c r="O15" i="60"/>
  <c r="O29" i="60" s="1"/>
  <c r="V57" i="53"/>
  <c r="V92" i="53" s="1"/>
  <c r="V103" i="53" s="1"/>
  <c r="V15" i="60"/>
  <c r="V29" i="60" s="1"/>
  <c r="W57" i="53"/>
  <c r="W92" i="53" s="1"/>
  <c r="W103" i="53" s="1"/>
  <c r="W15" i="60"/>
  <c r="W29" i="60" s="1"/>
  <c r="W35" i="60" s="1"/>
  <c r="T57" i="53"/>
  <c r="T92" i="53" s="1"/>
  <c r="T103" i="53" s="1"/>
  <c r="T15" i="60"/>
  <c r="T29" i="60" s="1"/>
  <c r="S57" i="53"/>
  <c r="S92" i="53" s="1"/>
  <c r="S103" i="53" s="1"/>
  <c r="S15" i="60"/>
  <c r="S29" i="60" s="1"/>
  <c r="S32" i="60" s="1"/>
  <c r="G57" i="53"/>
  <c r="G92" i="53" s="1"/>
  <c r="G103" i="53" s="1"/>
  <c r="G15" i="60"/>
  <c r="H57" i="53"/>
  <c r="H92" i="53" s="1"/>
  <c r="H103" i="53" s="1"/>
  <c r="H15" i="60"/>
  <c r="D57" i="53"/>
  <c r="D92" i="53" s="1"/>
  <c r="D103" i="53" s="1"/>
  <c r="D15" i="60"/>
  <c r="F57" i="53"/>
  <c r="F92" i="53" s="1"/>
  <c r="F103" i="53" s="1"/>
  <c r="F15" i="60"/>
  <c r="E57" i="53"/>
  <c r="E92" i="53" s="1"/>
  <c r="E103" i="53" s="1"/>
  <c r="E15" i="60"/>
  <c r="I57" i="53"/>
  <c r="I92" i="53" s="1"/>
  <c r="I103" i="53" s="1"/>
  <c r="I15" i="60"/>
  <c r="I85" i="53"/>
  <c r="P85" i="53"/>
  <c r="L85" i="53"/>
  <c r="E85" i="53"/>
  <c r="S85" i="53"/>
  <c r="G85" i="53"/>
  <c r="O85" i="53"/>
  <c r="W85" i="53"/>
  <c r="F85" i="53"/>
  <c r="T85" i="53"/>
  <c r="N85" i="53"/>
  <c r="H85" i="53"/>
  <c r="M85" i="53"/>
  <c r="V85" i="53"/>
  <c r="U85" i="53"/>
  <c r="N32" i="60" l="1"/>
  <c r="AY15" i="60"/>
  <c r="AV15" i="60"/>
  <c r="AX15" i="60"/>
  <c r="AU15" i="60"/>
  <c r="AT15" i="60"/>
  <c r="AW15" i="60"/>
  <c r="N36" i="60"/>
  <c r="M84" i="53"/>
  <c r="H85" i="1" s="1"/>
  <c r="M92" i="53"/>
  <c r="M103" i="53" s="1"/>
  <c r="N84" i="53"/>
  <c r="I85" i="1" s="1"/>
  <c r="N92" i="53"/>
  <c r="N103" i="53" s="1"/>
  <c r="P84" i="53"/>
  <c r="K85" i="1" s="1"/>
  <c r="P92" i="53"/>
  <c r="P103" i="53" s="1"/>
  <c r="O84" i="53"/>
  <c r="J85" i="1" s="1"/>
  <c r="L84" i="53"/>
  <c r="G85" i="1" s="1"/>
  <c r="L92" i="53"/>
  <c r="L103" i="53" s="1"/>
  <c r="K84" i="53"/>
  <c r="F85" i="1" s="1"/>
  <c r="K92" i="53"/>
  <c r="K103" i="53" s="1"/>
  <c r="H26" i="47"/>
  <c r="H24" i="48" s="1"/>
  <c r="E26" i="47"/>
  <c r="E24" i="48" s="1"/>
  <c r="G26" i="47"/>
  <c r="G24" i="48" s="1"/>
  <c r="F26" i="47"/>
  <c r="F24" i="48" s="1"/>
  <c r="W36" i="60"/>
  <c r="S35" i="60"/>
  <c r="S36" i="60"/>
  <c r="W32" i="60"/>
  <c r="C26" i="47"/>
  <c r="C24" i="48" s="1"/>
  <c r="D26" i="47"/>
  <c r="I29" i="60"/>
  <c r="H29" i="60"/>
  <c r="AX29" i="60" s="1"/>
  <c r="E29" i="60"/>
  <c r="D29" i="60"/>
  <c r="AT29" i="60" s="1"/>
  <c r="G29" i="60"/>
  <c r="F29" i="60"/>
  <c r="AV29" i="60" s="1"/>
  <c r="L32" i="60"/>
  <c r="L35" i="60"/>
  <c r="L36" i="60"/>
  <c r="P32" i="60"/>
  <c r="P35" i="60"/>
  <c r="P36" i="60"/>
  <c r="K32" i="60"/>
  <c r="K36" i="60"/>
  <c r="K35" i="60"/>
  <c r="M32" i="60"/>
  <c r="M36" i="60"/>
  <c r="M35" i="60"/>
  <c r="U32" i="60"/>
  <c r="U36" i="60"/>
  <c r="U35" i="60"/>
  <c r="T32" i="60"/>
  <c r="T36" i="60"/>
  <c r="T35" i="60"/>
  <c r="O32" i="60"/>
  <c r="O35" i="60"/>
  <c r="O36" i="60"/>
  <c r="R32" i="60"/>
  <c r="R35" i="60"/>
  <c r="R36" i="60"/>
  <c r="V32" i="60"/>
  <c r="V36" i="60"/>
  <c r="V35" i="60"/>
  <c r="G35" i="60" l="1"/>
  <c r="AW29" i="60"/>
  <c r="AW36" i="60" s="1"/>
  <c r="I32" i="60"/>
  <c r="AY29" i="60"/>
  <c r="AY35" i="60" s="1"/>
  <c r="E36" i="60"/>
  <c r="AU29" i="60"/>
  <c r="AU32" i="60" s="1"/>
  <c r="G36" i="60"/>
  <c r="G14" i="20"/>
  <c r="G13" i="20" s="1"/>
  <c r="G20" i="20" s="1"/>
  <c r="M20" i="49" s="1"/>
  <c r="M21" i="49" s="1"/>
  <c r="G31" i="21" s="1"/>
  <c r="N9" i="17" s="1"/>
  <c r="M10" i="17"/>
  <c r="Q10" i="17"/>
  <c r="F14" i="20"/>
  <c r="F13" i="20" s="1"/>
  <c r="F20" i="20" s="1"/>
  <c r="L20" i="49" s="1"/>
  <c r="L21" i="49" s="1"/>
  <c r="F31" i="21" s="1"/>
  <c r="M9" i="17" s="1"/>
  <c r="H14" i="20"/>
  <c r="H13" i="20" s="1"/>
  <c r="H20" i="20" s="1"/>
  <c r="N20" i="49" s="1"/>
  <c r="N21" i="49" s="1"/>
  <c r="H31" i="21" s="1"/>
  <c r="O9" i="17" s="1"/>
  <c r="N10" i="17"/>
  <c r="O10" i="17"/>
  <c r="P10" i="17"/>
  <c r="E14" i="20"/>
  <c r="E13" i="20" s="1"/>
  <c r="E20" i="20" s="1"/>
  <c r="K20" i="49" s="1"/>
  <c r="K21" i="49" s="1"/>
  <c r="J14" i="20"/>
  <c r="J13" i="20" s="1"/>
  <c r="J20" i="20" s="1"/>
  <c r="P20" i="49" s="1"/>
  <c r="P21" i="49" s="1"/>
  <c r="J31" i="21" s="1"/>
  <c r="Q9" i="17" s="1"/>
  <c r="I14" i="20"/>
  <c r="I13" i="20" s="1"/>
  <c r="I20" i="20" s="1"/>
  <c r="O20" i="49" s="1"/>
  <c r="O21" i="49" s="1"/>
  <c r="I31" i="21" s="1"/>
  <c r="P9" i="17" s="1"/>
  <c r="I36" i="60"/>
  <c r="H36" i="60"/>
  <c r="D24" i="48"/>
  <c r="E32" i="60"/>
  <c r="D36" i="60"/>
  <c r="E35" i="60"/>
  <c r="G32" i="60"/>
  <c r="I35" i="60"/>
  <c r="D35" i="60"/>
  <c r="H32" i="60"/>
  <c r="D32" i="60"/>
  <c r="H35" i="60"/>
  <c r="F36" i="60"/>
  <c r="F35" i="60"/>
  <c r="F32" i="60"/>
  <c r="AT32" i="60"/>
  <c r="AT36" i="60"/>
  <c r="AT35" i="60"/>
  <c r="AV32" i="60"/>
  <c r="AV36" i="60"/>
  <c r="AV35" i="60"/>
  <c r="AX32" i="60"/>
  <c r="AX36" i="60"/>
  <c r="AX35" i="60"/>
  <c r="M11" i="17" l="1"/>
  <c r="Q11" i="17"/>
  <c r="O11" i="17"/>
  <c r="N11" i="17"/>
  <c r="P11" i="17"/>
  <c r="AY32" i="60"/>
  <c r="AW32" i="60"/>
  <c r="AW35" i="60"/>
  <c r="AY36" i="60"/>
  <c r="AU36" i="60"/>
  <c r="AU35" i="60"/>
  <c r="F27" i="2"/>
  <c r="L9" i="22" l="1"/>
  <c r="H9" i="16" s="1"/>
  <c r="J84" i="1"/>
  <c r="J27" i="2" s="1"/>
  <c r="H84" i="1"/>
  <c r="H27" i="2" s="1"/>
  <c r="K9" i="22"/>
  <c r="G9" i="16" s="1"/>
  <c r="I84" i="1"/>
  <c r="I27" i="2" s="1"/>
  <c r="M9" i="22"/>
  <c r="I9" i="16" s="1"/>
  <c r="K84" i="1"/>
  <c r="K27" i="2" s="1"/>
  <c r="I9" i="22"/>
  <c r="E9" i="16" s="1"/>
  <c r="G84" i="1"/>
  <c r="G27" i="2" s="1"/>
  <c r="J9" i="22"/>
  <c r="F9" i="16" s="1"/>
  <c r="D11" i="16"/>
  <c r="D13" i="16" s="1"/>
  <c r="D19" i="16" s="1"/>
  <c r="T233" i="50" l="1"/>
  <c r="T213" i="50" s="1"/>
  <c r="R29" i="7" s="1"/>
  <c r="R31" i="7" s="1"/>
  <c r="Y233" i="50"/>
  <c r="Y213" i="50" s="1"/>
  <c r="W233" i="50"/>
  <c r="W213" i="50" s="1"/>
  <c r="U29" i="7" s="1"/>
  <c r="U31" i="7" s="1"/>
  <c r="U233" i="50"/>
  <c r="U213" i="50" s="1"/>
  <c r="S29" i="7" s="1"/>
  <c r="S31" i="7" s="1"/>
  <c r="V233" i="50"/>
  <c r="V213" i="50" s="1"/>
  <c r="S213" i="50"/>
  <c r="X233" i="50"/>
  <c r="X213" i="50" s="1"/>
  <c r="Y280" i="50" l="1"/>
  <c r="W29" i="7"/>
  <c r="W31" i="7" s="1"/>
  <c r="T53" i="53"/>
  <c r="T84" i="53" s="1"/>
  <c r="H87" i="1" s="1"/>
  <c r="T29" i="7"/>
  <c r="T31" i="7" s="1"/>
  <c r="X280" i="50"/>
  <c r="V29" i="7"/>
  <c r="V31" i="7" s="1"/>
  <c r="Q53" i="53"/>
  <c r="D18" i="20" s="1"/>
  <c r="Q29" i="7"/>
  <c r="W53" i="53"/>
  <c r="W84" i="53" s="1"/>
  <c r="K87" i="1" s="1"/>
  <c r="W280" i="50"/>
  <c r="U53" i="53"/>
  <c r="U84" i="53" s="1"/>
  <c r="I87" i="1" s="1"/>
  <c r="T255" i="50"/>
  <c r="T280" i="50"/>
  <c r="R53" i="53"/>
  <c r="E18" i="20" s="1"/>
  <c r="S53" i="53"/>
  <c r="U280" i="50"/>
  <c r="V280" i="50"/>
  <c r="S280" i="50"/>
  <c r="V53" i="53"/>
  <c r="B28" i="47" l="1"/>
  <c r="U255" i="50"/>
  <c r="V255" i="50" s="1"/>
  <c r="V235" i="50" s="1"/>
  <c r="V281" i="50" s="1"/>
  <c r="T277" i="50"/>
  <c r="T257" i="50" s="1"/>
  <c r="T282" i="50" s="1"/>
  <c r="Q84" i="53"/>
  <c r="H28" i="47"/>
  <c r="G18" i="20"/>
  <c r="E28" i="47"/>
  <c r="J18" i="20"/>
  <c r="H18" i="20"/>
  <c r="F28" i="47"/>
  <c r="T235" i="50"/>
  <c r="T281" i="50" s="1"/>
  <c r="U10" i="17"/>
  <c r="G17" i="20"/>
  <c r="I18" i="20"/>
  <c r="G28" i="47"/>
  <c r="V84" i="53"/>
  <c r="J87" i="1" s="1"/>
  <c r="F18" i="20"/>
  <c r="D28" i="47"/>
  <c r="S84" i="53"/>
  <c r="G87" i="1" s="1"/>
  <c r="H17" i="20"/>
  <c r="V10" i="17"/>
  <c r="J17" i="20"/>
  <c r="X10" i="17"/>
  <c r="R84" i="53"/>
  <c r="F87" i="1" s="1"/>
  <c r="C28" i="47"/>
  <c r="U235" i="50" l="1"/>
  <c r="U281" i="50" s="1"/>
  <c r="T284" i="50"/>
  <c r="E87" i="1"/>
  <c r="E28" i="2" s="1"/>
  <c r="D17" i="20"/>
  <c r="D16" i="20" s="1"/>
  <c r="D21" i="20" s="1"/>
  <c r="Q20" i="49" s="1"/>
  <c r="Q21" i="49" s="1"/>
  <c r="W255" i="50"/>
  <c r="W277" i="50" s="1"/>
  <c r="W257" i="50" s="1"/>
  <c r="W282" i="50" s="1"/>
  <c r="V277" i="50"/>
  <c r="V257" i="50" s="1"/>
  <c r="V282" i="50" s="1"/>
  <c r="V284" i="50" s="1"/>
  <c r="U277" i="50"/>
  <c r="U257" i="50" s="1"/>
  <c r="U282" i="50" s="1"/>
  <c r="G16" i="20"/>
  <c r="G21" i="20" s="1"/>
  <c r="T20" i="49" s="1"/>
  <c r="T21" i="49" s="1"/>
  <c r="G32" i="21" s="1"/>
  <c r="U9" i="17" s="1"/>
  <c r="U11" i="17" s="1"/>
  <c r="H86" i="1" s="1"/>
  <c r="H16" i="20"/>
  <c r="H21" i="20" s="1"/>
  <c r="U20" i="49" s="1"/>
  <c r="U21" i="49" s="1"/>
  <c r="H32" i="21" s="1"/>
  <c r="V9" i="17" s="1"/>
  <c r="V11" i="17" s="1"/>
  <c r="I86" i="1" s="1"/>
  <c r="J16" i="20"/>
  <c r="J21" i="20" s="1"/>
  <c r="W20" i="49" s="1"/>
  <c r="F28" i="2"/>
  <c r="E17" i="20"/>
  <c r="E16" i="20" s="1"/>
  <c r="E21" i="20" s="1"/>
  <c r="R20" i="49" s="1"/>
  <c r="R21" i="49" s="1"/>
  <c r="I17" i="20"/>
  <c r="I16" i="20" s="1"/>
  <c r="I21" i="20" s="1"/>
  <c r="V20" i="49" s="1"/>
  <c r="V21" i="49" s="1"/>
  <c r="I32" i="21" s="1"/>
  <c r="W10" i="17"/>
  <c r="T10" i="17"/>
  <c r="F17" i="20"/>
  <c r="F16" i="20" s="1"/>
  <c r="F21" i="20" s="1"/>
  <c r="S20" i="49" s="1"/>
  <c r="S21" i="49" s="1"/>
  <c r="F32" i="21" s="1"/>
  <c r="W21" i="49" l="1"/>
  <c r="J32" i="21" s="1"/>
  <c r="X9" i="17" s="1"/>
  <c r="X11" i="17" s="1"/>
  <c r="U284" i="50"/>
  <c r="W235" i="50"/>
  <c r="W281" i="50" s="1"/>
  <c r="W284" i="50" s="1"/>
  <c r="X255" i="50"/>
  <c r="X277" i="50" s="1"/>
  <c r="X257" i="50" s="1"/>
  <c r="X282" i="50" s="1"/>
  <c r="O9" i="22"/>
  <c r="H28" i="2"/>
  <c r="P9" i="22"/>
  <c r="I28" i="2"/>
  <c r="T9" i="17"/>
  <c r="T11" i="17" s="1"/>
  <c r="G86" i="1" s="1"/>
  <c r="W9" i="17"/>
  <c r="W11" i="17" s="1"/>
  <c r="J86" i="1" s="1"/>
  <c r="K86" i="1" l="1"/>
  <c r="K28" i="2" s="1"/>
  <c r="R9" i="22"/>
  <c r="R13" i="22" s="1"/>
  <c r="X235" i="50"/>
  <c r="X281" i="50" s="1"/>
  <c r="X284" i="50" s="1"/>
  <c r="Y255" i="50"/>
  <c r="Y277" i="50" s="1"/>
  <c r="Y257" i="50" s="1"/>
  <c r="O11" i="22"/>
  <c r="O13" i="22"/>
  <c r="F10" i="16"/>
  <c r="O12" i="22"/>
  <c r="G28" i="2"/>
  <c r="N9" i="22"/>
  <c r="P13" i="22"/>
  <c r="P12" i="22"/>
  <c r="G10" i="16"/>
  <c r="P11" i="22"/>
  <c r="J28" i="2"/>
  <c r="Q9" i="22"/>
  <c r="R11" i="22" l="1"/>
  <c r="R12" i="22"/>
  <c r="I10" i="16"/>
  <c r="Y235" i="50"/>
  <c r="Y281" i="50" s="1"/>
  <c r="N12" i="22"/>
  <c r="N11" i="22"/>
  <c r="N13" i="22"/>
  <c r="E10" i="16"/>
  <c r="Y282" i="50"/>
  <c r="AA84" i="50"/>
  <c r="Q13" i="22"/>
  <c r="H10" i="16"/>
  <c r="Q11" i="22"/>
  <c r="Q12" i="22"/>
  <c r="C11" i="54"/>
  <c r="Q12" i="39"/>
  <c r="C17" i="53"/>
  <c r="AA34" i="50" l="1"/>
  <c r="J17" i="39"/>
  <c r="C87" i="53"/>
  <c r="C94" i="53" s="1"/>
  <c r="C105" i="53" s="1"/>
  <c r="Y284" i="50"/>
  <c r="H17" i="53"/>
  <c r="E17" i="53"/>
  <c r="G17" i="53"/>
  <c r="C11" i="53"/>
  <c r="I17" i="53"/>
  <c r="F17" i="53"/>
  <c r="N17" i="39" l="1"/>
  <c r="G87" i="53"/>
  <c r="G94" i="53" s="1"/>
  <c r="G105" i="53" s="1"/>
  <c r="M17" i="39"/>
  <c r="F87" i="53"/>
  <c r="F94" i="53" s="1"/>
  <c r="F105" i="53" s="1"/>
  <c r="L17" i="39"/>
  <c r="E87" i="53"/>
  <c r="E94" i="53" s="1"/>
  <c r="E105" i="53" s="1"/>
  <c r="P17" i="39"/>
  <c r="I87" i="53"/>
  <c r="I94" i="53" s="1"/>
  <c r="I105" i="53" s="1"/>
  <c r="O17" i="39"/>
  <c r="H87" i="53"/>
  <c r="H94" i="53" s="1"/>
  <c r="H105" i="53" s="1"/>
  <c r="R12" i="39"/>
  <c r="R13" i="39" s="1"/>
  <c r="K13" i="39"/>
  <c r="S12" i="39"/>
  <c r="L13" i="39"/>
  <c r="V12" i="39"/>
  <c r="O13" i="39"/>
  <c r="T12" i="39"/>
  <c r="M13" i="39"/>
  <c r="W12" i="39"/>
  <c r="P13" i="39"/>
  <c r="U12" i="39"/>
  <c r="N13" i="39"/>
  <c r="C84" i="53"/>
  <c r="E83" i="1" s="1"/>
  <c r="B24" i="47"/>
  <c r="B23" i="47" s="1"/>
  <c r="E11" i="53"/>
  <c r="I11" i="53"/>
  <c r="D11" i="53"/>
  <c r="D94" i="53"/>
  <c r="D105" i="53" s="1"/>
  <c r="H11" i="53"/>
  <c r="G11" i="53"/>
  <c r="F11" i="53"/>
  <c r="W13" i="39" l="1"/>
  <c r="U13" i="39"/>
  <c r="T13" i="39"/>
  <c r="E26" i="2"/>
  <c r="D11" i="20"/>
  <c r="D10" i="20" s="1"/>
  <c r="S13" i="39"/>
  <c r="V13" i="39"/>
  <c r="F84" i="53"/>
  <c r="H83" i="1" s="1"/>
  <c r="E24" i="47"/>
  <c r="E23" i="47" s="1"/>
  <c r="I84" i="53"/>
  <c r="K83" i="1" s="1"/>
  <c r="H24" i="47"/>
  <c r="H23" i="47" s="1"/>
  <c r="D84" i="53"/>
  <c r="F83" i="1" s="1"/>
  <c r="C24" i="47"/>
  <c r="C23" i="47" s="1"/>
  <c r="B42" i="47"/>
  <c r="B22" i="47"/>
  <c r="B43" i="47" s="1"/>
  <c r="B46" i="47" s="1"/>
  <c r="F24" i="47"/>
  <c r="F23" i="47" s="1"/>
  <c r="G84" i="53"/>
  <c r="I83" i="1" s="1"/>
  <c r="G24" i="47"/>
  <c r="G23" i="47" s="1"/>
  <c r="H84" i="53"/>
  <c r="J83" i="1" s="1"/>
  <c r="D24" i="47"/>
  <c r="D23" i="47" s="1"/>
  <c r="E84" i="53"/>
  <c r="G83" i="1" s="1"/>
  <c r="D19" i="20" l="1"/>
  <c r="C20" i="49" s="1"/>
  <c r="C21" i="49" s="1"/>
  <c r="F26" i="2"/>
  <c r="E11" i="20"/>
  <c r="E10" i="20" s="1"/>
  <c r="E19" i="20" s="1"/>
  <c r="D20" i="49" s="1"/>
  <c r="D21" i="49" s="1"/>
  <c r="F10" i="17"/>
  <c r="F11" i="20"/>
  <c r="F10" i="20" s="1"/>
  <c r="F19" i="20" s="1"/>
  <c r="E20" i="49" s="1"/>
  <c r="E21" i="49" s="1"/>
  <c r="F30" i="21" s="1"/>
  <c r="H10" i="17"/>
  <c r="H11" i="20"/>
  <c r="H10" i="20" s="1"/>
  <c r="H19" i="20" s="1"/>
  <c r="G20" i="49" s="1"/>
  <c r="G21" i="49" s="1"/>
  <c r="H30" i="21" s="1"/>
  <c r="C22" i="48"/>
  <c r="D22" i="48"/>
  <c r="D22" i="47"/>
  <c r="G11" i="20"/>
  <c r="G10" i="20" s="1"/>
  <c r="G19" i="20" s="1"/>
  <c r="F20" i="49" s="1"/>
  <c r="F21" i="49" s="1"/>
  <c r="G30" i="21" s="1"/>
  <c r="G10" i="17"/>
  <c r="I10" i="17"/>
  <c r="I11" i="20"/>
  <c r="I10" i="20" s="1"/>
  <c r="I19" i="20" s="1"/>
  <c r="H20" i="49" s="1"/>
  <c r="H21" i="49" s="1"/>
  <c r="I30" i="21" s="1"/>
  <c r="H22" i="47"/>
  <c r="H22" i="48"/>
  <c r="G22" i="48"/>
  <c r="G22" i="47"/>
  <c r="J10" i="17"/>
  <c r="J11" i="20"/>
  <c r="J10" i="20" s="1"/>
  <c r="J19" i="20" s="1"/>
  <c r="I20" i="49" s="1"/>
  <c r="I21" i="49" s="1"/>
  <c r="J30" i="21" s="1"/>
  <c r="E22" i="47"/>
  <c r="E22" i="48"/>
  <c r="F22" i="47"/>
  <c r="F22" i="48"/>
  <c r="C42" i="48" l="1"/>
  <c r="C43" i="48"/>
  <c r="F21" i="48"/>
  <c r="F42" i="48"/>
  <c r="H21" i="48"/>
  <c r="H42" i="48"/>
  <c r="E21" i="48"/>
  <c r="E42" i="48"/>
  <c r="G21" i="48"/>
  <c r="G42" i="48"/>
  <c r="D21" i="48"/>
  <c r="D42" i="48"/>
  <c r="C21" i="48"/>
  <c r="C22" i="47"/>
  <c r="C43" i="47" s="1"/>
  <c r="C42" i="47"/>
  <c r="F9" i="17"/>
  <c r="F11" i="17" s="1"/>
  <c r="G82" i="1" s="1"/>
  <c r="F33" i="21"/>
  <c r="I9" i="17"/>
  <c r="I11" i="17" s="1"/>
  <c r="J82" i="1" s="1"/>
  <c r="I33" i="21"/>
  <c r="H33" i="21"/>
  <c r="H9" i="17"/>
  <c r="H11" i="17" s="1"/>
  <c r="G33" i="21"/>
  <c r="G9" i="17"/>
  <c r="G11" i="17" s="1"/>
  <c r="H82" i="1" s="1"/>
  <c r="J33" i="21"/>
  <c r="J9" i="17"/>
  <c r="J11" i="17" s="1"/>
  <c r="K82" i="1" s="1"/>
  <c r="C37" i="48" l="1"/>
  <c r="C20" i="48" s="1"/>
  <c r="F9" i="47"/>
  <c r="F8" i="47" s="1"/>
  <c r="I82" i="1"/>
  <c r="I26" i="2" s="1"/>
  <c r="F9" i="22"/>
  <c r="G8" i="16" s="1"/>
  <c r="G11" i="16" s="1"/>
  <c r="G13" i="16" s="1"/>
  <c r="G19" i="16" s="1"/>
  <c r="F9" i="48"/>
  <c r="F43" i="48" s="1"/>
  <c r="J26" i="2"/>
  <c r="G9" i="22"/>
  <c r="H8" i="16" s="1"/>
  <c r="H11" i="16" s="1"/>
  <c r="H13" i="16" s="1"/>
  <c r="H19" i="16" s="1"/>
  <c r="G9" i="47"/>
  <c r="G8" i="47" s="1"/>
  <c r="G9" i="48"/>
  <c r="G43" i="48" s="1"/>
  <c r="H26" i="2"/>
  <c r="E9" i="47"/>
  <c r="E8" i="47" s="1"/>
  <c r="E9" i="48"/>
  <c r="E43" i="48" s="1"/>
  <c r="E9" i="22"/>
  <c r="F8" i="16" s="1"/>
  <c r="F11" i="16" s="1"/>
  <c r="F13" i="16" s="1"/>
  <c r="F19" i="16" s="1"/>
  <c r="G26" i="2"/>
  <c r="D9" i="22"/>
  <c r="E8" i="16" s="1"/>
  <c r="E11" i="16" s="1"/>
  <c r="E13" i="16" s="1"/>
  <c r="E19" i="16" s="1"/>
  <c r="D9" i="48"/>
  <c r="D43" i="48" s="1"/>
  <c r="D9" i="47"/>
  <c r="D8" i="47" s="1"/>
  <c r="H9" i="47"/>
  <c r="H8" i="47" s="1"/>
  <c r="H9" i="22"/>
  <c r="I8" i="16" s="1"/>
  <c r="I11" i="16" s="1"/>
  <c r="I13" i="16" s="1"/>
  <c r="I19" i="16" s="1"/>
  <c r="H9" i="48"/>
  <c r="H43" i="48" s="1"/>
  <c r="K26" i="2"/>
  <c r="C45" i="48"/>
  <c r="C46" i="48" s="1"/>
  <c r="C44" i="47"/>
  <c r="D41" i="48" s="1"/>
  <c r="C47" i="48" l="1"/>
  <c r="C49" i="48" s="1"/>
  <c r="D48" i="48" s="1"/>
  <c r="G8" i="48"/>
  <c r="F8" i="48"/>
  <c r="D8" i="48"/>
  <c r="D37" i="48"/>
  <c r="D20" i="48" s="1"/>
  <c r="E8" i="48"/>
  <c r="H8" i="48"/>
  <c r="C46" i="47"/>
  <c r="F42" i="47"/>
  <c r="F7" i="47"/>
  <c r="F43" i="47" s="1"/>
  <c r="G7" i="47"/>
  <c r="G43" i="47" s="1"/>
  <c r="G42" i="47"/>
  <c r="E42" i="47"/>
  <c r="E7" i="47"/>
  <c r="E43" i="47" s="1"/>
  <c r="D7" i="47"/>
  <c r="D43" i="47" s="1"/>
  <c r="D42" i="47"/>
  <c r="H7" i="47"/>
  <c r="H43" i="47" s="1"/>
  <c r="H42" i="47"/>
  <c r="E19" i="48" l="1"/>
  <c r="E15" i="48" s="1"/>
  <c r="E7" i="48" s="1"/>
  <c r="F19" i="48"/>
  <c r="F15" i="48" s="1"/>
  <c r="F7" i="48" s="1"/>
  <c r="H19" i="48"/>
  <c r="H15" i="48" s="1"/>
  <c r="H7" i="48" s="1"/>
  <c r="D19" i="48"/>
  <c r="D15" i="48" s="1"/>
  <c r="D7" i="48" s="1"/>
  <c r="G19" i="48"/>
  <c r="G15" i="48" s="1"/>
  <c r="G7" i="48" s="1"/>
  <c r="F44" i="47"/>
  <c r="G41" i="48" s="1"/>
  <c r="G37" i="48" s="1"/>
  <c r="G20" i="48" s="1"/>
  <c r="E45" i="48"/>
  <c r="E46" i="48" s="1"/>
  <c r="H45" i="48"/>
  <c r="H46" i="48" s="1"/>
  <c r="G44" i="47"/>
  <c r="H41" i="48" s="1"/>
  <c r="H37" i="48" s="1"/>
  <c r="H20" i="48" s="1"/>
  <c r="D44" i="47"/>
  <c r="E41" i="48" s="1"/>
  <c r="E37" i="48" s="1"/>
  <c r="E20" i="48" s="1"/>
  <c r="F45" i="48"/>
  <c r="F46" i="48" s="1"/>
  <c r="G45" i="48"/>
  <c r="G46" i="48" s="1"/>
  <c r="H44" i="47"/>
  <c r="H46" i="47" s="1"/>
  <c r="E44" i="47"/>
  <c r="F41" i="48" s="1"/>
  <c r="F37" i="48" s="1"/>
  <c r="F20" i="48" s="1"/>
  <c r="D45" i="48"/>
  <c r="D46" i="48" s="1"/>
  <c r="D47" i="48" l="1"/>
  <c r="D49" i="48" s="1"/>
  <c r="E48" i="48" s="1"/>
  <c r="G47" i="48"/>
  <c r="E47" i="48"/>
  <c r="F47" i="48"/>
  <c r="G46" i="47"/>
  <c r="H47" i="48"/>
  <c r="E46" i="47"/>
  <c r="D46" i="47"/>
  <c r="F46" i="47"/>
  <c r="E49" i="48" l="1"/>
  <c r="F48" i="48" s="1"/>
  <c r="F49" i="48" s="1"/>
  <c r="G48" i="48" s="1"/>
  <c r="G49" i="48" s="1"/>
  <c r="H48" i="48" s="1"/>
  <c r="H49" i="48" s="1"/>
</calcChain>
</file>

<file path=xl/comments1.xml><?xml version="1.0" encoding="utf-8"?>
<comments xmlns="http://schemas.openxmlformats.org/spreadsheetml/2006/main">
  <authors>
    <author>dk-kpeev</author>
  </authors>
  <commentList>
    <comment ref="G7" authorId="0" shape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shape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shape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shape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shape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shape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shape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shape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shape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shape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shape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shapeId="0">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shapeId="0">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shape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shape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shape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shape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shape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shape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shape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shape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shape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shape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shape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shape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shapeId="0">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shape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<sst xmlns="http://schemas.openxmlformats.org/spreadsheetml/2006/main" count="3692" uniqueCount="1648">
  <si>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</si>
  <si>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</si>
  <si>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</si>
  <si>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</si>
  <si>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</si>
  <si>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</si>
  <si>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</si>
  <si>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</si>
  <si>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</si>
  <si>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</si>
  <si>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</si>
  <si>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</si>
  <si>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</si>
  <si>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</si>
  <si>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</si>
  <si>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</si>
  <si>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</si>
  <si>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</si>
  <si>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</si>
  <si>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</si>
  <si>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</si>
  <si>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</si>
  <si>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</si>
  <si>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</si>
  <si>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</si>
  <si>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</si>
  <si>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</si>
  <si>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</si>
  <si>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</si>
  <si>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</si>
  <si>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</si>
  <si>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</si>
  <si>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</si>
  <si>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</si>
  <si>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</si>
  <si>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</si>
  <si>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</si>
  <si>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</si>
  <si>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</si>
  <si>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</si>
  <si>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</si>
  <si>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</si>
  <si>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</si>
  <si>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</si>
  <si>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</si>
  <si>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</si>
  <si>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</si>
  <si>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</si>
  <si>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</si>
  <si>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</si>
  <si>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</si>
  <si>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</si>
  <si>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</si>
  <si>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</si>
  <si>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</si>
  <si>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</si>
  <si>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</si>
  <si>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</si>
  <si>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</si>
  <si>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</si>
  <si>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</si>
  <si>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</si>
  <si>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</si>
  <si>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</si>
  <si>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</si>
  <si>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</si>
  <si>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</si>
  <si>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</si>
  <si>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</si>
  <si>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</si>
  <si>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</si>
  <si>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</si>
  <si>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</si>
  <si>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</si>
  <si>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</si>
  <si>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</si>
  <si>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</si>
  <si>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</si>
  <si>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</si>
  <si>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</si>
  <si>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</si>
  <si>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</si>
  <si>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</si>
  <si>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</si>
  <si>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</si>
  <si>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</si>
  <si>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</si>
  <si>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</si>
  <si>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</si>
  <si>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</si>
  <si>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</si>
  <si>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</si>
  <si>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</si>
  <si>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</si>
  <si>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</si>
  <si>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</si>
  <si>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</si>
  <si>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</si>
  <si>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</si>
  <si>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</si>
  <si>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</si>
  <si>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</si>
  <si>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</si>
  <si>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</si>
  <si>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</si>
  <si>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</si>
  <si>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</si>
  <si>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</si>
  <si>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</si>
  <si>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</si>
  <si>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</si>
  <si>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</si>
  <si>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</si>
  <si>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</si>
  <si>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</si>
  <si>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</si>
  <si>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</si>
  <si>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</si>
  <si>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</si>
  <si>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</si>
  <si>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</si>
  <si>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</si>
  <si>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</si>
  <si>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</si>
  <si>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</si>
  <si>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</si>
  <si>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</si>
  <si>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</si>
  <si>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</si>
  <si>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</si>
  <si>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</si>
  <si>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</si>
  <si>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</si>
  <si>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</si>
  <si>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</si>
  <si>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</si>
  <si>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</si>
  <si>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</si>
  <si>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</si>
  <si>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</si>
  <si>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</si>
  <si>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</si>
  <si>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</si>
  <si>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</si>
  <si>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</si>
  <si>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</si>
  <si>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</si>
  <si>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</si>
  <si>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</si>
  <si>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</si>
  <si>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</si>
  <si>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</si>
  <si>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</si>
  <si>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</si>
  <si>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</si>
  <si>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</si>
  <si>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</si>
  <si>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</si>
  <si>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</si>
  <si>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</si>
  <si>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</si>
  <si>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</si>
  <si>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</si>
  <si>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</si>
  <si>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</si>
  <si>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</si>
  <si>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</si>
  <si>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</si>
  <si>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</si>
  <si>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</si>
  <si>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</si>
  <si>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</si>
  <si>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</si>
  <si>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</si>
  <si>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</si>
  <si>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</si>
  <si>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</si>
  <si>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</si>
  <si>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</si>
  <si>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</si>
  <si>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</si>
  <si>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</si>
  <si>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</si>
  <si>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</si>
  <si>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</si>
  <si>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</si>
  <si>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</si>
  <si>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</si>
  <si>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</si>
  <si>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</si>
  <si>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</si>
  <si>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</si>
  <si>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</si>
  <si>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</si>
  <si>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</si>
  <si>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</si>
  <si>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</si>
  <si>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</si>
  <si>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</si>
  <si>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</si>
  <si>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</si>
  <si>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</si>
  <si>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</si>
  <si>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</si>
  <si>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</si>
  <si>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</si>
  <si>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</si>
  <si>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</si>
  <si>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</si>
  <si>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</si>
  <si>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</si>
  <si>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</si>
  <si>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</si>
  <si>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</si>
  <si>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</si>
  <si>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</si>
  <si>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</si>
  <si>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</si>
  <si>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</si>
  <si>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</si>
  <si>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</si>
  <si>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</si>
  <si>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</si>
  <si>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</si>
  <si>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</si>
  <si>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</si>
  <si>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</si>
  <si>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</si>
  <si>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</si>
  <si>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</si>
  <si>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</si>
  <si>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</si>
  <si>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</si>
  <si>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</si>
  <si>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</si>
  <si>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</si>
  <si>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</si>
  <si>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</si>
  <si>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</si>
  <si>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</si>
  <si>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</si>
  <si>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</si>
  <si>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</si>
  <si>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</si>
  <si>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</si>
  <si>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</si>
  <si>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</si>
  <si>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</si>
  <si>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</si>
  <si>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</si>
  <si>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</si>
  <si>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</si>
  <si>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</si>
  <si>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</si>
  <si>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</si>
  <si>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</si>
  <si>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</si>
  <si>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</si>
  <si>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</si>
  <si>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</si>
  <si>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</si>
  <si>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</si>
  <si>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</si>
  <si>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</si>
  <si>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</si>
  <si>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</si>
  <si>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</si>
  <si>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</si>
  <si>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</si>
  <si>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</si>
  <si>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</si>
  <si>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</si>
  <si>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</si>
  <si>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</si>
  <si>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</si>
  <si>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</si>
  <si>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</si>
  <si>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</si>
  <si>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</si>
  <si>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</si>
  <si>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</si>
  <si>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</si>
  <si>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</si>
  <si>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</si>
  <si>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</si>
  <si>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</si>
  <si>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</si>
  <si>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</si>
  <si>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</si>
  <si>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</si>
  <si>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</si>
  <si>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</si>
  <si>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</si>
  <si>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</si>
  <si>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</si>
  <si>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</si>
  <si>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</si>
  <si>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</si>
  <si>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</si>
  <si>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</si>
  <si>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</si>
  <si>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</si>
  <si>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</si>
  <si>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</si>
  <si>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</si>
  <si>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</si>
  <si>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</si>
  <si>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</si>
  <si>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</si>
  <si>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</si>
  <si>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</si>
  <si>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</si>
  <si>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</si>
  <si>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</si>
  <si>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</si>
  <si>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</si>
  <si>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</si>
  <si>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</si>
  <si>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</si>
  <si>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</si>
  <si>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</si>
  <si>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</si>
  <si>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</si>
  <si>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</si>
  <si>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</si>
  <si>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</si>
  <si>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</si>
  <si>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</si>
  <si>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</si>
  <si>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</si>
  <si>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</si>
  <si>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</si>
  <si>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</si>
  <si>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</si>
  <si>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</si>
  <si>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</si>
  <si>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</si>
  <si>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</si>
  <si>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</si>
  <si>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</si>
  <si>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</si>
  <si>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</si>
  <si>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</si>
  <si>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</si>
  <si>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</si>
  <si>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</si>
  <si>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</si>
  <si>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</si>
  <si>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</si>
  <si>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</si>
  <si>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</si>
  <si>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</si>
  <si>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</si>
  <si>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</si>
  <si>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</si>
  <si>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</si>
  <si>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</si>
  <si>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</si>
  <si>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</si>
  <si>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</si>
  <si>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</si>
  <si>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</si>
  <si>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</si>
  <si>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</si>
  <si>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</si>
  <si>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</si>
  <si>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</si>
  <si>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</si>
  <si>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</si>
  <si>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</si>
  <si>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</si>
  <si>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</si>
  <si>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</si>
  <si>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</si>
  <si>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</si>
  <si>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</si>
  <si>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</si>
  <si>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</si>
  <si>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</si>
  <si>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</si>
  <si>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</si>
  <si>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</si>
  <si>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</si>
  <si>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</si>
  <si>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</si>
  <si>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</si>
  <si>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</si>
  <si>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</si>
  <si>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</si>
  <si>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</si>
  <si>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</si>
  <si>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</si>
  <si>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</si>
  <si>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</si>
  <si>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</si>
  <si>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</si>
  <si>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</si>
  <si>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</si>
  <si>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</si>
  <si>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</si>
  <si>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</si>
  <si>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</si>
  <si>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</si>
  <si>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</si>
  <si>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</si>
  <si>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</si>
  <si>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</si>
  <si>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</si>
  <si>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</si>
  <si>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</si>
  <si>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</si>
  <si>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</si>
  <si>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</si>
  <si>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</si>
  <si>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</si>
  <si>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</si>
  <si>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</si>
  <si>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</si>
  <si>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</si>
  <si>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</si>
  <si>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</si>
  <si>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</si>
  <si>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</si>
  <si>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</si>
  <si>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</si>
  <si>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</si>
  <si>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</si>
  <si>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</si>
  <si>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</si>
  <si>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</si>
  <si>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</si>
  <si>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</si>
  <si>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</si>
  <si>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</si>
  <si>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</si>
  <si>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</si>
  <si>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</si>
  <si>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</si>
  <si>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</si>
  <si>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</si>
  <si>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</si>
  <si>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</si>
  <si>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</si>
  <si>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</si>
  <si>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</si>
  <si>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</si>
  <si>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</si>
  <si>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</si>
  <si>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</si>
  <si>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</si>
  <si>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</si>
  <si>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</si>
  <si>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</si>
  <si>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</si>
  <si>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</si>
  <si>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</si>
  <si>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</si>
  <si>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</si>
  <si>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</si>
  <si>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</si>
  <si>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</si>
  <si>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</si>
  <si>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</si>
  <si>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</si>
  <si>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</si>
  <si>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</si>
  <si>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</si>
  <si>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</si>
  <si>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</si>
  <si>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</si>
  <si>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</si>
  <si>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</si>
  <si>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</si>
  <si>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</si>
  <si>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</si>
  <si>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</si>
  <si>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</si>
  <si>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</si>
  <si>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</si>
  <si>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</si>
  <si>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</si>
  <si>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</si>
  <si>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</si>
  <si>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</si>
  <si>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</si>
  <si>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</si>
  <si>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</si>
  <si>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</si>
  <si>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</si>
  <si>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</si>
  <si>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</si>
  <si>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</si>
  <si>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</si>
  <si>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</si>
  <si>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</si>
  <si>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</si>
  <si>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</si>
  <si>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</si>
  <si>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</si>
  <si>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</si>
  <si>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</si>
  <si>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</si>
  <si>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</si>
  <si>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</si>
  <si>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</si>
  <si>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</si>
  <si>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</si>
  <si>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</si>
  <si>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</si>
  <si>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</si>
  <si>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</si>
  <si>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</si>
  <si>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</si>
  <si>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</si>
  <si>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</si>
  <si>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</si>
  <si>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</si>
  <si>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</si>
  <si>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</si>
  <si>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</si>
  <si>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</si>
  <si>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</si>
  <si>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</si>
  <si>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</si>
  <si>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</si>
  <si>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</si>
  <si>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</si>
  <si>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</si>
  <si>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</si>
  <si>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</si>
  <si>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</si>
  <si>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</si>
  <si>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</si>
  <si>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</si>
  <si>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</si>
  <si>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</si>
  <si>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</si>
  <si>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</si>
  <si>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</si>
  <si>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</si>
  <si>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</si>
  <si>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</si>
  <si>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</si>
  <si>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</si>
  <si>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</si>
  <si>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</si>
  <si>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</si>
  <si>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</si>
  <si>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</si>
  <si>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</si>
  <si>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</si>
  <si>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</si>
  <si>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</si>
  <si>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</si>
  <si>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</si>
  <si>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</si>
  <si>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</si>
  <si>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</si>
  <si>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</si>
  <si>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</si>
  <si>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</si>
  <si>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</si>
  <si>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</si>
  <si>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</si>
  <si>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</si>
  <si>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</si>
  <si>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</si>
  <si>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</si>
  <si>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</si>
  <si>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</si>
  <si>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</si>
  <si>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</si>
  <si>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</si>
  <si>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</si>
  <si>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</si>
  <si>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</si>
  <si>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</si>
  <si>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</si>
  <si>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</si>
  <si>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</si>
  <si>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</si>
  <si>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</si>
  <si>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</si>
  <si>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</si>
  <si>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</si>
  <si>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</si>
  <si>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</si>
  <si>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</si>
  <si>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</si>
  <si>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</si>
  <si>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</si>
  <si>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</si>
  <si>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</si>
  <si>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</si>
  <si>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</si>
  <si>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</si>
  <si>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</si>
  <si>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</si>
  <si>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</si>
  <si>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</si>
  <si>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</si>
  <si>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</si>
  <si>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</si>
  <si>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</si>
  <si>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</si>
  <si>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</si>
  <si>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</si>
  <si>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</si>
  <si>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</si>
  <si>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</si>
  <si>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</si>
  <si>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</si>
  <si>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</si>
  <si>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</si>
  <si>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</si>
  <si>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</si>
  <si>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</si>
  <si>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</si>
  <si>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</si>
  <si>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</si>
  <si>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</si>
  <si>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</si>
  <si>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</si>
  <si>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</si>
  <si>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</si>
  <si>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</si>
  <si>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</si>
  <si>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</si>
  <si>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</si>
  <si>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</si>
  <si>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</si>
  <si>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</si>
  <si>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</si>
  <si>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</si>
  <si>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</si>
  <si>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</si>
  <si>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</si>
  <si>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</si>
  <si>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</si>
  <si>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</si>
  <si>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</si>
  <si>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</si>
  <si>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</si>
  <si>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</si>
  <si>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</si>
  <si>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</si>
  <si>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</si>
  <si>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</si>
  <si>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</si>
  <si>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</si>
  <si>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</si>
  <si>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</si>
  <si>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</si>
  <si>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</si>
  <si>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</si>
  <si>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</si>
  <si>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</si>
  <si>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</si>
  <si>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</si>
  <si>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</si>
  <si>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</si>
  <si>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</si>
  <si>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</si>
  <si>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</si>
  <si>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</si>
  <si>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</si>
  <si>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</si>
  <si>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</si>
  <si>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</si>
  <si>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</si>
  <si>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</si>
  <si>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</si>
  <si>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</si>
  <si>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</si>
  <si>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</si>
  <si>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</si>
  <si>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</si>
  <si>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</si>
  <si>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</si>
  <si>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</si>
  <si>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</si>
  <si>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</si>
  <si>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</si>
  <si>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</si>
  <si>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</si>
  <si>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</si>
  <si>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</si>
  <si>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</si>
  <si>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</si>
  <si>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</si>
  <si>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</si>
  <si>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</si>
  <si>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</si>
  <si>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</si>
  <si>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</si>
  <si>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</si>
  <si>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</si>
  <si>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</si>
  <si>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</si>
  <si>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</si>
  <si>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</si>
  <si>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</si>
  <si>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</si>
  <si>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</si>
  <si>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</si>
  <si>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</si>
  <si>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</si>
  <si>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</si>
  <si>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</si>
  <si>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</si>
  <si>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</si>
  <si>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</si>
  <si>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</si>
  <si>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</si>
  <si>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</si>
  <si>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</si>
  <si>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</si>
  <si>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</si>
  <si>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</si>
  <si>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</si>
  <si>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</si>
  <si>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</si>
  <si>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</si>
  <si>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</si>
  <si>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</si>
  <si>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</si>
  <si>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</si>
  <si>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</si>
  <si>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</si>
  <si>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</si>
  <si>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</si>
  <si>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</si>
  <si>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</si>
  <si>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</si>
  <si>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</si>
  <si>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</si>
  <si>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</si>
  <si>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</si>
  <si>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</si>
  <si>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</si>
  <si>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</si>
  <si>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</si>
  <si>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</si>
  <si>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</si>
  <si>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</si>
  <si>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</si>
  <si>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</si>
  <si>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</si>
  <si>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</si>
  <si>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</si>
  <si>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</si>
  <si>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</si>
  <si>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</si>
  <si>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</si>
  <si>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</si>
  <si>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</si>
  <si>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</si>
  <si>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</si>
  <si>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</si>
  <si>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</si>
  <si>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</si>
  <si>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</si>
  <si>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</si>
  <si>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</si>
  <si>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</si>
  <si>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</si>
  <si>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</si>
  <si>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</si>
  <si>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</si>
  <si>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</si>
  <si>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</si>
  <si>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</si>
  <si>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</si>
  <si>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</si>
  <si>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</si>
  <si>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</si>
  <si>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</si>
  <si>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</si>
  <si>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</si>
  <si>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</si>
  <si>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</si>
  <si>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</si>
  <si>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</si>
  <si>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</si>
  <si>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</si>
  <si>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</si>
  <si>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</si>
  <si>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</si>
  <si>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</si>
  <si>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</si>
  <si>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</si>
  <si>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</si>
  <si>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</si>
  <si>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</si>
  <si>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</si>
  <si>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</si>
  <si>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</si>
  <si>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</si>
  <si>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</si>
  <si>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</si>
  <si>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</si>
  <si>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</si>
  <si>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</si>
  <si>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</si>
  <si>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</si>
  <si>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</si>
  <si>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</si>
  <si>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</si>
  <si>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</si>
  <si>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</si>
  <si>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</si>
  <si>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</si>
  <si>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</si>
  <si>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</si>
  <si>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</si>
  <si>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</si>
  <si>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</si>
  <si>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</si>
  <si>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</si>
  <si>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</si>
  <si>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</si>
  <si>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</si>
  <si>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</si>
  <si>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</si>
  <si>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</si>
  <si>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</si>
  <si>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</si>
  <si>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</si>
  <si>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</si>
  <si>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</si>
  <si>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</si>
  <si>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</si>
  <si>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</si>
  <si>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</si>
  <si>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</si>
  <si>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</si>
  <si>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</si>
  <si>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</si>
  <si>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</si>
  <si>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</si>
  <si>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</si>
  <si>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</si>
  <si>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</si>
  <si>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</si>
  <si>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</si>
  <si>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</si>
  <si>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</si>
  <si>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</si>
  <si>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</si>
  <si>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</si>
  <si>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</si>
  <si>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</si>
  <si>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</si>
  <si>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</si>
  <si>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</si>
  <si>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</si>
  <si>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</si>
  <si>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</si>
  <si>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</si>
  <si>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</si>
  <si>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</si>
  <si>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</si>
  <si>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</si>
  <si>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</si>
  <si>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</si>
  <si>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</si>
  <si>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</si>
  <si>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</si>
  <si>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</si>
  <si>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</si>
  <si>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</si>
  <si>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</si>
  <si>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</si>
  <si>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</si>
  <si>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</si>
  <si>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</si>
  <si>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</si>
  <si>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</si>
  <si>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</si>
  <si>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</si>
  <si>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</si>
  <si>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</si>
  <si>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</si>
  <si>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</si>
  <si>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</si>
  <si>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</si>
  <si>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</si>
  <si>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</si>
  <si>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</si>
  <si>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</si>
  <si>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</si>
  <si>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</si>
  <si>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</si>
  <si>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</si>
  <si>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</si>
  <si>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</si>
  <si>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</si>
  <si>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</si>
  <si>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</si>
  <si>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</si>
  <si>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</si>
  <si>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</si>
  <si>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</si>
  <si>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</si>
  <si>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</si>
  <si>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</si>
  <si>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</si>
  <si>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</si>
  <si>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</si>
  <si>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</si>
  <si>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</si>
  <si>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</si>
  <si>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</si>
  <si>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</si>
  <si>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</si>
  <si>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</si>
  <si>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</si>
  <si>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</si>
  <si>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</si>
  <si>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</si>
  <si>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</si>
  <si>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</si>
  <si>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</si>
  <si>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</si>
  <si>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</si>
  <si>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</si>
  <si>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</si>
  <si>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</si>
  <si>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</si>
  <si>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</si>
  <si>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</si>
  <si>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</si>
  <si>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</si>
  <si>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</si>
  <si>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</si>
  <si>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</si>
  <si>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</si>
  <si>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</si>
  <si>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</si>
  <si>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</si>
  <si>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</si>
  <si>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</si>
  <si>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</si>
  <si>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</si>
  <si>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</si>
  <si>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</si>
  <si>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</si>
  <si>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</si>
  <si>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</si>
  <si>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</si>
  <si>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</si>
  <si>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</si>
  <si>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</si>
  <si>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</si>
  <si>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</si>
  <si>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</si>
  <si>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</si>
  <si>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</si>
  <si>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</si>
  <si>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</si>
  <si>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</si>
  <si>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</si>
  <si>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</si>
  <si>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</si>
  <si>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</si>
  <si>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</si>
  <si>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</si>
  <si>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</si>
  <si>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</si>
  <si>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</si>
  <si>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</si>
  <si>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</si>
  <si>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</si>
  <si>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</si>
  <si>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</si>
  <si>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</si>
  <si>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</si>
  <si>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</si>
  <si>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</si>
  <si>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</si>
  <si>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</si>
  <si>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</si>
  <si>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</si>
  <si>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</si>
  <si>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</si>
  <si>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</si>
  <si>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</si>
  <si>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</si>
  <si>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</si>
  <si>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</si>
  <si>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</si>
  <si>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</si>
  <si>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</si>
  <si>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</si>
  <si>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</si>
  <si>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</si>
  <si>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</si>
  <si>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</si>
  <si>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</si>
  <si>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</si>
  <si>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</si>
  <si>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</si>
  <si>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</si>
  <si>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</si>
  <si>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</si>
  <si>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</si>
  <si>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</si>
  <si>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</si>
  <si>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</si>
  <si>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</si>
  <si>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</si>
  <si>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</si>
  <si>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</si>
  <si>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</si>
  <si>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</si>
  <si>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</si>
  <si>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</si>
  <si>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</si>
  <si>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</si>
  <si>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</si>
  <si>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</si>
  <si>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</si>
  <si>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</si>
  <si>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</si>
  <si>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</si>
  <si>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</si>
  <si>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</si>
  <si>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</si>
  <si>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</si>
  <si>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</si>
  <si>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</si>
  <si>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</si>
  <si>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</si>
  <si>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</si>
  <si>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</si>
  <si>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</si>
  <si>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</si>
  <si>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</si>
  <si>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</si>
  <si>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</si>
  <si>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</si>
  <si>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</si>
  <si>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</si>
  <si>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</si>
  <si>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</si>
  <si>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</si>
  <si>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</si>
  <si>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</si>
  <si>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</si>
  <si>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</si>
  <si>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</si>
  <si>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</si>
  <si>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</si>
  <si>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</si>
  <si>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</si>
  <si>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</si>
  <si>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</si>
  <si>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</si>
  <si>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</si>
  <si>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</si>
  <si>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</si>
  <si>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</si>
  <si>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</si>
  <si>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</si>
  <si>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</si>
  <si>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</si>
  <si>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</si>
  <si>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</si>
  <si>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</si>
  <si>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</si>
  <si>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</si>
  <si>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</si>
  <si>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</si>
  <si>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</si>
  <si>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</si>
  <si>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</si>
  <si>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</si>
  <si>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</si>
  <si>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</si>
  <si>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</si>
  <si>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</si>
  <si>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</si>
  <si>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</si>
  <si>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</si>
  <si>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</si>
  <si>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</si>
  <si>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</si>
  <si>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</si>
  <si>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</si>
  <si>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</si>
  <si>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</si>
  <si>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</si>
  <si>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</si>
  <si>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</si>
  <si>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</si>
  <si>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</si>
  <si>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</si>
  <si>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</si>
  <si>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</si>
  <si>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</si>
  <si>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</si>
  <si>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</si>
  <si>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</si>
  <si>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</si>
  <si>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</si>
  <si>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</si>
  <si>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</si>
  <si>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</si>
  <si>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</si>
  <si>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</si>
  <si>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</si>
  <si>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</si>
  <si>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</si>
  <si>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</si>
  <si>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</si>
  <si>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</si>
  <si>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</si>
  <si>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</si>
  <si>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</si>
  <si>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</si>
  <si>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</si>
  <si>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</si>
  <si>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</si>
  <si>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</si>
  <si>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</si>
  <si>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</si>
  <si>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</si>
  <si>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</si>
  <si>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</si>
  <si>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</si>
  <si>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</si>
  <si>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</si>
  <si>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</si>
  <si>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</si>
  <si>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</si>
  <si>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</si>
  <si>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</si>
  <si>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</si>
  <si>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</si>
  <si>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</si>
  <si>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</si>
  <si>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</si>
  <si>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</si>
  <si>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</si>
  <si>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</si>
  <si>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</si>
  <si>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</si>
  <si>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</si>
  <si>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</si>
  <si>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</si>
  <si>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</si>
  <si>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</si>
  <si>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</si>
  <si>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</si>
  <si>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</si>
  <si>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</si>
  <si>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</si>
  <si>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</si>
  <si>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</si>
  <si>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</si>
  <si>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</si>
  <si>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</si>
  <si>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</si>
  <si>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</si>
  <si>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</si>
  <si>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</si>
  <si>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</si>
  <si>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</si>
  <si>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</si>
  <si>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</si>
  <si>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</si>
  <si>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</si>
  <si>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</si>
  <si>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</si>
  <si>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</si>
  <si>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</si>
  <si>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</si>
  <si>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</si>
  <si>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</si>
  <si>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</si>
  <si>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</si>
  <si>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</si>
  <si>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</si>
  <si>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</si>
  <si>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</si>
  <si>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</si>
  <si>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</si>
  <si>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</si>
  <si>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</si>
  <si>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</si>
  <si>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</si>
  <si>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</si>
  <si>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</si>
  <si>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</si>
  <si>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</si>
  <si>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</si>
  <si>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</si>
  <si>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</si>
  <si>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</si>
  <si>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</si>
  <si>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</si>
  <si>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</si>
  <si>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</si>
  <si>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</si>
  <si>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</si>
  <si>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</si>
  <si>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</si>
  <si>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</si>
  <si>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</si>
  <si>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</si>
  <si>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</si>
  <si>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</si>
  <si>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</si>
  <si>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</si>
  <si>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</si>
  <si>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</si>
  <si>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</si>
  <si>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</si>
  <si>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</si>
  <si>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</si>
  <si>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</si>
  <si>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</si>
  <si>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</si>
  <si>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</si>
  <si>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</si>
  <si>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</si>
  <si>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</si>
  <si>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</si>
  <si>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</si>
  <si>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</si>
  <si>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</si>
  <si>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</si>
  <si>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</si>
  <si>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</si>
  <si>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</si>
  <si>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</si>
  <si>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</si>
  <si>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</si>
  <si>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</si>
  <si>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</si>
  <si>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</si>
  <si>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</si>
  <si>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</si>
  <si>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</si>
  <si>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</si>
  <si>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</si>
  <si>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</si>
  <si>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</si>
  <si>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</si>
  <si>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</si>
  <si>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</si>
  <si>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</si>
  <si>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</si>
  <si>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</si>
  <si>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</si>
  <si>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</si>
  <si>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</si>
  <si>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</si>
  <si>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</si>
  <si>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</si>
  <si>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</si>
  <si>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</si>
  <si>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</si>
  <si>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</si>
  <si>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</si>
  <si>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</si>
  <si>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</si>
  <si>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</si>
  <si>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</si>
  <si>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</si>
  <si>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</si>
  <si>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</si>
  <si>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</si>
  <si>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</si>
  <si>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</si>
  <si>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</si>
  <si>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</si>
  <si>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</si>
  <si>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</si>
  <si>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</si>
  <si>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</si>
  <si>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</si>
  <si>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</si>
  <si>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</si>
  <si>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</si>
  <si>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</si>
  <si>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</si>
  <si>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</si>
  <si>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</si>
  <si>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</si>
  <si>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</si>
  <si>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</si>
  <si>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</si>
  <si>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</si>
  <si>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</si>
  <si>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</si>
  <si>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</si>
  <si>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</si>
  <si>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</si>
  <si>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</si>
  <si>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</si>
  <si>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</si>
  <si>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</si>
  <si>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</si>
  <si>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</si>
  <si>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</si>
  <si>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</si>
  <si>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</si>
  <si>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</si>
  <si>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</si>
  <si>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</si>
  <si>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</si>
  <si>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</si>
  <si>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</si>
  <si>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</si>
  <si>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</si>
  <si>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</si>
  <si>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</si>
  <si>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</si>
  <si>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</si>
  <si>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</si>
  <si>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</si>
  <si>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</si>
  <si>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</si>
  <si>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</si>
  <si>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</si>
  <si>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</si>
  <si>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</si>
  <si>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</si>
  <si>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</si>
  <si>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</si>
  <si>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</si>
  <si>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</si>
  <si>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</si>
  <si>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</si>
  <si>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</si>
  <si>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</si>
  <si>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</si>
  <si>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</si>
  <si>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</si>
  <si>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</si>
  <si>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</si>
  <si>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</si>
  <si>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</si>
  <si>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</si>
  <si>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</si>
  <si>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</si>
  <si>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</si>
  <si>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</si>
  <si>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</si>
  <si>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</si>
  <si>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</si>
  <si>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</si>
  <si>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</si>
  <si>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</si>
  <si>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</si>
  <si>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</si>
  <si>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</si>
  <si>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</si>
  <si>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</si>
  <si>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</si>
  <si>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</si>
  <si>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</si>
  <si>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</si>
  <si>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</si>
  <si>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</si>
  <si>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</si>
  <si>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</si>
  <si>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</si>
  <si>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</si>
  <si>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</si>
  <si>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</si>
  <si>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</si>
  <si>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</si>
  <si>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</si>
  <si>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</si>
  <si>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</si>
  <si>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</si>
  <si>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</si>
  <si>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</si>
  <si>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</si>
  <si>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</si>
  <si>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</si>
  <si>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</si>
  <si>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</si>
  <si>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</si>
  <si>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</si>
  <si>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</si>
  <si>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</si>
  <si>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</si>
  <si>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</si>
  <si>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</si>
  <si>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</si>
  <si>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</si>
  <si>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</si>
  <si>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</si>
  <si>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</si>
  <si>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</si>
  <si>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</si>
  <si>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</si>
  <si>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</si>
  <si>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</si>
  <si>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</si>
  <si>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</si>
  <si>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</si>
  <si>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</si>
  <si>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</si>
  <si>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</si>
  <si>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</si>
  <si>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</si>
  <si>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</si>
  <si>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</si>
  <si>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</si>
  <si>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</si>
  <si>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</si>
  <si>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</si>
  <si>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</si>
  <si>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</si>
  <si>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</si>
  <si>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</si>
  <si>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</si>
  <si>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</si>
  <si>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</si>
  <si>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</si>
  <si>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</si>
  <si>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</si>
  <si>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</si>
  <si>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</si>
  <si>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</si>
  <si>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</si>
  <si>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</si>
  <si>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</si>
  <si>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</si>
  <si>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</si>
  <si>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</si>
  <si>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</si>
  <si>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</si>
  <si>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</si>
  <si>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</si>
  <si>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</si>
  <si>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</si>
  <si>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</si>
  <si>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</si>
  <si>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</si>
  <si>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</si>
  <si>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</si>
  <si>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</si>
  <si>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</si>
  <si>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</si>
  <si>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</si>
  <si>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</si>
  <si>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</si>
  <si>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</si>
  <si>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</si>
  <si>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</si>
  <si>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</si>
  <si>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</si>
  <si>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</si>
  <si>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</si>
  <si>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</si>
  <si>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</si>
  <si>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</si>
  <si>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</si>
  <si>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</si>
  <si>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</si>
  <si>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</si>
  <si>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</si>
  <si>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</si>
  <si>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</si>
  <si>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</si>
  <si>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</si>
  <si>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</si>
  <si>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</si>
  <si>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</si>
  <si>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</si>
  <si>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</si>
  <si>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</si>
  <si>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</si>
  <si>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</si>
  <si>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</si>
  <si>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</si>
  <si>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</si>
  <si>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</si>
  <si>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</si>
  <si>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</si>
  <si>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</si>
  <si>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</si>
  <si>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</si>
  <si>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</si>
  <si>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</si>
  <si>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</si>
  <si>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</si>
  <si>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</si>
  <si>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</si>
  <si>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</si>
  <si>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</si>
  <si>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</si>
  <si>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</si>
  <si>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</si>
  <si>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</si>
  <si>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</si>
  <si>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</si>
  <si>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</si>
  <si>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</si>
  <si>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</si>
  <si>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</si>
  <si>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</si>
  <si>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</si>
  <si>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</si>
  <si>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</si>
  <si>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</si>
  <si>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</si>
  <si>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</si>
  <si>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</si>
  <si>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</si>
  <si>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</si>
  <si>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</si>
  <si>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</si>
  <si>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</si>
  <si>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</si>
  <si>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</si>
  <si>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</si>
  <si>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</si>
  <si>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</si>
  <si>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</si>
  <si>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</si>
  <si>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</si>
  <si>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</si>
  <si>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</si>
  <si>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</si>
  <si>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</si>
  <si>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</si>
  <si>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</si>
  <si>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</si>
  <si>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</si>
  <si>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</si>
  <si>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</si>
  <si>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</si>
  <si>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</si>
  <si>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</si>
  <si>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</si>
  <si>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</si>
  <si>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</si>
  <si>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</si>
  <si>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</si>
  <si>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</si>
  <si>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</si>
  <si>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</si>
  <si>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</si>
  <si>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</si>
  <si>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</si>
  <si>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</si>
  <si>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</si>
  <si>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</si>
  <si>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</si>
  <si>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</si>
  <si>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</si>
  <si>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</si>
  <si>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</si>
  <si>
    <t>Постъпления от ДДС</t>
  </si>
  <si>
    <t>Плащания ДДС</t>
  </si>
  <si>
    <t xml:space="preserve">"Водоснабдяване и канализация" ЕООД </t>
  </si>
  <si>
    <t>Благоевград</t>
  </si>
  <si>
    <t>811047831</t>
  </si>
  <si>
    <t>Мария Василева</t>
  </si>
  <si>
    <t>инж. Росица Димитрова</t>
  </si>
  <si>
    <t>гр. Благоевград</t>
  </si>
  <si>
    <t>ул. "Антон Чехов" 3</t>
  </si>
  <si>
    <t>26709</t>
  </si>
  <si>
    <t>BG811047831</t>
  </si>
  <si>
    <t>Договор за стопанисване, експлоатация и поддръжка на ВиК системи и съоръжения</t>
  </si>
  <si>
    <t>гр. Благоевград, ул. "Антон Чехов" 3</t>
  </si>
  <si>
    <t>073/884170</t>
  </si>
  <si>
    <t>073/884178</t>
  </si>
  <si>
    <t>vik_bl@avala.bg</t>
  </si>
  <si>
    <t>073/519874</t>
  </si>
  <si>
    <t>инж. Петър Чапкънов</t>
  </si>
  <si>
    <t>073/519878</t>
  </si>
  <si>
    <t>0887590756</t>
  </si>
  <si>
    <t>katsarska@vikblg.com</t>
  </si>
  <si>
    <t>Богдана Златкова</t>
  </si>
  <si>
    <t>0884292323</t>
  </si>
  <si>
    <t>bzlatkova@vikblg.com</t>
  </si>
  <si>
    <t>0887488118</t>
  </si>
  <si>
    <t>m.b.vasileva@vikblg.com</t>
  </si>
  <si>
    <t>Зоя Драгова</t>
  </si>
  <si>
    <t>ДА</t>
  </si>
  <si>
    <t>НЕ</t>
  </si>
  <si>
    <t>НСИ</t>
  </si>
  <si>
    <t>Система за отчитане и фактуриране</t>
  </si>
  <si>
    <t>ГРАО</t>
  </si>
  <si>
    <t>Регистър ПУО</t>
  </si>
  <si>
    <t>Регистър Активи</t>
  </si>
  <si>
    <t>Регистър АМО</t>
  </si>
  <si>
    <t>ПП ПАСПОРТИ</t>
  </si>
  <si>
    <t>БД Контролни разходомери</t>
  </si>
  <si>
    <t>Регистър ТО</t>
  </si>
  <si>
    <t>Регистър ПУО/ИЛПОВ</t>
  </si>
  <si>
    <t>Регистър Лабораторни изследвания</t>
  </si>
  <si>
    <t>Регистър ТО от 2016 г.</t>
  </si>
  <si>
    <t>Регистър АВАРИИ</t>
  </si>
  <si>
    <t>ПП АВАРИИ</t>
  </si>
  <si>
    <t>БД Количества вода на вход</t>
  </si>
  <si>
    <t>АКВАВИТ</t>
  </si>
  <si>
    <t>БД неизмерена законна консумация</t>
  </si>
  <si>
    <t>Регистър ПСОВ</t>
  </si>
  <si>
    <t>БД количества вода на вход ПСОВ</t>
  </si>
  <si>
    <t>Регистър Водомерна раб.</t>
  </si>
  <si>
    <t>Регистър водомери</t>
  </si>
  <si>
    <t>БД разходомери</t>
  </si>
  <si>
    <t>Регистър АМО от 2016 г.</t>
  </si>
  <si>
    <t>БД извършени обследвания</t>
  </si>
  <si>
    <t>Регистър енергетик</t>
  </si>
  <si>
    <t>БД изразходвана ел.енергия</t>
  </si>
  <si>
    <t>Регистър утайки ПСОВ</t>
  </si>
  <si>
    <t>ТОНЕГАН</t>
  </si>
  <si>
    <t>Счетоводна система</t>
  </si>
  <si>
    <t>АКСТЪР ОФИС</t>
  </si>
  <si>
    <t xml:space="preserve">Регистър оплаквания </t>
  </si>
  <si>
    <t>БД сключени и изпълнени договори</t>
  </si>
  <si>
    <t>ПП ТЕРЕЗ</t>
  </si>
  <si>
    <t>БД длъжности и задължения на персонала</t>
  </si>
  <si>
    <t xml:space="preserve">няма </t>
  </si>
  <si>
    <t>подобряване състоянието на водовземните съоръжения и гарантиране добива на необходимото водно количество</t>
  </si>
  <si>
    <t>осигуряване защита на водоизточниците от замърсяване и външна намеса</t>
  </si>
  <si>
    <t>намаляване на загубите и осигуряване на непрекъснатост на водоподаването за по-голям брой потребители</t>
  </si>
  <si>
    <t>подобряване работата на пречиствателните станции и осигуряване необходимото качество на пречистване</t>
  </si>
  <si>
    <t>удължаване на експлоатационния живот на напорните резервоари и намаляване загубите на вода</t>
  </si>
  <si>
    <t>подобряване качеството на питейната вода и осъществяване контрол на количеството добавен хлор</t>
  </si>
  <si>
    <t>намаляване на броя на аварии и общите загуби на вода, осигуряване на непрекъснатост на водоподаването</t>
  </si>
  <si>
    <t>увеличаване броя на потребителите</t>
  </si>
  <si>
    <t>намаляване на загубите на вода и понижаване на общите разходи</t>
  </si>
  <si>
    <t xml:space="preserve">намаляване ва налягането във водопроводната мрежа и на загубите на вода </t>
  </si>
  <si>
    <t>намаляване на загубите на вода и подобряване качеството на предоставяната услуга</t>
  </si>
  <si>
    <t>оптимизиране на технологичния процес и намаляване на загубите, подобряване качеството на услугата (осигуряване на непрекъснатост)</t>
  </si>
  <si>
    <t xml:space="preserve">подобряване качеството на питейната вода </t>
  </si>
  <si>
    <t>осигуряване на необходимата механизация за извършване на оперативната дейност на дружеството</t>
  </si>
  <si>
    <t>подобряване работата на канализационната система и довеждане на отпадъчните води до ПСОВ</t>
  </si>
  <si>
    <t>надеждно отвеждане на отпадъчните води и предпазване имотите на потребители от наводнения</t>
  </si>
  <si>
    <t>подобряване състоянието на канализационната мрежа и експлоатационните условия, намаляване на разходите за поддръжка</t>
  </si>
  <si>
    <t>автомобилът ще се ползва за обслужване на канализационна мрежа и пречистване на отпадъчни води</t>
  </si>
  <si>
    <t>ПСОВ Краище</t>
  </si>
  <si>
    <t>ПСОВ Юруково</t>
  </si>
  <si>
    <t>ПСОВ Банско</t>
  </si>
  <si>
    <t>9 ПСОВ Община Сатовча</t>
  </si>
  <si>
    <t>ПСОВ Черниче</t>
  </si>
  <si>
    <t>ПСОВ Габрене и Михнево</t>
  </si>
  <si>
    <t>27.08.2018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</si>
</sst>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л_в_._-;\-* #,##0.00\ _л_в_._-;_-* &quot;-&quot;??\ _л_в_._-;_-@_-"/>
    <numFmt numFmtId="164" formatCode="_(* #,##0.00_);_(* \(#,##0.00\);_(* &quot;-&quot;??_);_(@_)"/>
    <numFmt numFmtId="165" formatCode="_-* #,##0.00\ _л_в_-;\-* #,##0.00\ _л_в_-;_-* &quot;-&quot;??\ _л_в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s>
  <fonts count="141">
    <font>
      <sz val="10"/>
      <name val="Arial"/>
      <charset val="204"/>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
      <b/>
      <sz val="12"/>
      <name val="Arial"/>
      <family val="2"/>
      <charset val="204"/>
    </font>
    <font>
      <sz val="12"/>
      <color rgb="FFFF0000"/>
      <name val="Times New Roman"/>
      <family val="1"/>
      <charset val="204"/>
    </font>
    <font>
      <b/>
      <sz val="12"/>
      <name val="Arial"/>
      <family val="2"/>
    </font>
  </fonts>
  <fills count="4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56">
    <xf numFmtId="0" fontId="0" fillId="0" borderId="0"/>
    <xf numFmtId="9" fontId="3" fillId="0" borderId="0" applyFont="0" applyFill="0" applyBorder="0" applyAlignment="0" applyProtection="0"/>
    <xf numFmtId="0" fontId="9" fillId="0" borderId="0" applyNumberFormat="0" applyFill="0" applyBorder="0" applyAlignment="0" applyProtection="0">
      <alignment vertical="top"/>
      <protection locked="0"/>
    </xf>
    <xf numFmtId="0" fontId="15" fillId="4"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6" fillId="7"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1" fontId="17" fillId="12" borderId="0">
      <alignment horizontal="center" vertical="center" wrapText="1"/>
    </xf>
    <xf numFmtId="4" fontId="17" fillId="13" borderId="7">
      <alignment vertical="center"/>
      <protection locked="0"/>
    </xf>
    <xf numFmtId="0" fontId="17" fillId="14" borderId="0">
      <alignment horizontal="right"/>
    </xf>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9" fontId="17" fillId="18" borderId="0">
      <alignment vertical="top" wrapText="1"/>
    </xf>
    <xf numFmtId="38" fontId="17" fillId="13" borderId="0">
      <alignment horizontal="right" vertical="center" wrapText="1"/>
    </xf>
    <xf numFmtId="0" fontId="19" fillId="0" borderId="0" applyNumberFormat="0" applyFill="0" applyBorder="0" applyAlignment="0" applyProtection="0">
      <alignment vertical="top"/>
      <protection locked="0"/>
    </xf>
    <xf numFmtId="0" fontId="20" fillId="19" borderId="8">
      <alignment wrapText="1"/>
    </xf>
    <xf numFmtId="0" fontId="15" fillId="0" borderId="0"/>
    <xf numFmtId="0" fontId="20" fillId="0" borderId="0"/>
    <xf numFmtId="9" fontId="15"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3" fontId="17" fillId="0" borderId="0">
      <alignment horizontal="right" vertical="center" wrapText="1"/>
      <protection locked="0"/>
    </xf>
    <xf numFmtId="0" fontId="22" fillId="0" borderId="0"/>
    <xf numFmtId="0" fontId="15" fillId="0" borderId="0"/>
    <xf numFmtId="0" fontId="37" fillId="0" borderId="0"/>
    <xf numFmtId="9" fontId="32" fillId="0" borderId="0" applyFont="0" applyFill="0" applyBorder="0" applyAlignment="0" applyProtection="0"/>
    <xf numFmtId="0" fontId="32" fillId="0" borderId="0"/>
    <xf numFmtId="0" fontId="37" fillId="0" borderId="0"/>
    <xf numFmtId="165" fontId="32" fillId="0" borderId="0" applyFont="0" applyFill="0" applyBorder="0" applyAlignment="0" applyProtection="0"/>
    <xf numFmtId="0" fontId="3" fillId="0" borderId="0"/>
    <xf numFmtId="43" fontId="20" fillId="0" borderId="0" applyFont="0" applyFill="0" applyBorder="0" applyAlignment="0" applyProtection="0"/>
    <xf numFmtId="0" fontId="77" fillId="0" borderId="0"/>
    <xf numFmtId="165" fontId="20" fillId="0" borderId="0" applyFont="0" applyFill="0" applyBorder="0" applyAlignment="0" applyProtection="0"/>
    <xf numFmtId="0" fontId="79" fillId="0" borderId="0"/>
    <xf numFmtId="9" fontId="2" fillId="0" borderId="0" applyFont="0" applyFill="0" applyBorder="0" applyAlignment="0" applyProtection="0"/>
    <xf numFmtId="9" fontId="1" fillId="0" borderId="0" applyFont="0" applyFill="0" applyBorder="0" applyAlignment="0" applyProtection="0"/>
    <xf numFmtId="0" fontId="88" fillId="0" borderId="0"/>
    <xf numFmtId="0" fontId="108" fillId="0" borderId="0"/>
    <xf numFmtId="0" fontId="88" fillId="0" borderId="0"/>
    <xf numFmtId="164" fontId="131" fillId="0" borderId="0" applyFont="0" applyFill="0" applyBorder="0" applyAlignment="0" applyProtection="0"/>
  </cellStyleXfs>
  <cellXfs count="3728">
    <xf numFmtId="0" fontId="0" fillId="0" borderId="0" xfId="0"/>
    <xf numFmtId="0" fontId="4" fillId="0" borderId="0" xfId="0" applyFont="1" applyAlignment="1">
      <alignment vertical="center"/>
    </xf>
    <xf numFmtId="0" fontId="4" fillId="0" borderId="0" xfId="0" applyFont="1"/>
    <xf numFmtId="0" fontId="6" fillId="0" borderId="0" xfId="0" applyFont="1"/>
    <xf numFmtId="0" fontId="10" fillId="0" borderId="0" xfId="2" quotePrefix="1" applyFont="1" applyAlignment="1" applyProtection="1"/>
    <xf numFmtId="0" fontId="4" fillId="0" borderId="0" xfId="0" applyNumberFormat="1" applyFont="1"/>
    <xf numFmtId="49" fontId="13" fillId="0" borderId="0" xfId="0" applyNumberFormat="1" applyFont="1" applyBorder="1" applyAlignment="1">
      <alignment horizontal="left" vertical="center"/>
    </xf>
    <xf numFmtId="0" fontId="4" fillId="0" borderId="0" xfId="0" applyFont="1" applyBorder="1" applyAlignment="1">
      <alignment vertical="center"/>
    </xf>
    <xf numFmtId="0" fontId="13" fillId="0" borderId="0" xfId="0" applyFont="1"/>
    <xf numFmtId="49" fontId="13" fillId="0" borderId="0" xfId="0" applyNumberFormat="1" applyFont="1" applyBorder="1" applyAlignment="1">
      <alignment vertical="center"/>
    </xf>
    <xf numFmtId="0" fontId="13" fillId="0" borderId="0" xfId="0" applyFont="1" applyBorder="1" applyAlignment="1">
      <alignment vertical="center"/>
    </xf>
    <xf numFmtId="49" fontId="4" fillId="0" borderId="0" xfId="0" applyNumberFormat="1" applyFont="1" applyAlignment="1">
      <alignment horizontal="center"/>
    </xf>
    <xf numFmtId="49" fontId="27" fillId="3" borderId="15" xfId="0" applyNumberFormat="1" applyFont="1" applyFill="1" applyBorder="1" applyAlignment="1" applyProtection="1">
      <alignment horizontal="left" vertical="center"/>
      <protection locked="0"/>
    </xf>
    <xf numFmtId="0" fontId="4" fillId="0" borderId="0" xfId="0" applyNumberFormat="1" applyFont="1" applyAlignment="1"/>
    <xf numFmtId="49" fontId="4" fillId="0" borderId="0" xfId="0" applyNumberFormat="1" applyFont="1" applyAlignment="1">
      <alignment horizontal="right"/>
    </xf>
    <xf numFmtId="0" fontId="29" fillId="0" borderId="0" xfId="0" applyNumberFormat="1" applyFont="1" applyAlignment="1">
      <alignment horizontal="center"/>
    </xf>
    <xf numFmtId="49" fontId="13" fillId="0" borderId="0" xfId="0" applyNumberFormat="1" applyFont="1" applyAlignment="1">
      <alignment horizontal="right"/>
    </xf>
    <xf numFmtId="49" fontId="27" fillId="3" borderId="18" xfId="0" applyNumberFormat="1" applyFont="1" applyFill="1" applyBorder="1" applyAlignment="1" applyProtection="1">
      <alignment horizontal="left" vertical="center"/>
      <protection locked="0"/>
    </xf>
    <xf numFmtId="0" fontId="33" fillId="0" borderId="0" xfId="0" applyNumberFormat="1" applyFont="1" applyAlignment="1">
      <alignment horizontal="right"/>
    </xf>
    <xf numFmtId="0" fontId="34" fillId="0" borderId="0" xfId="0" applyNumberFormat="1" applyFont="1" applyAlignment="1"/>
    <xf numFmtId="14" fontId="33" fillId="0" borderId="0" xfId="0" applyNumberFormat="1" applyFont="1" applyAlignment="1">
      <alignment horizontal="left" vertical="center" indent="1"/>
    </xf>
    <xf numFmtId="0" fontId="13" fillId="0" borderId="0" xfId="0" applyFont="1" applyAlignment="1"/>
    <xf numFmtId="49" fontId="34" fillId="0" borderId="0" xfId="0" applyNumberFormat="1" applyFont="1" applyAlignment="1">
      <alignment horizontal="right"/>
    </xf>
    <xf numFmtId="0" fontId="34" fillId="0" borderId="0" xfId="0" applyFont="1"/>
    <xf numFmtId="49" fontId="33" fillId="0" borderId="0" xfId="0" applyNumberFormat="1" applyFont="1" applyAlignment="1">
      <alignment horizontal="right"/>
    </xf>
    <xf numFmtId="0" fontId="8" fillId="0" borderId="0" xfId="32" applyFont="1"/>
    <xf numFmtId="0" fontId="4" fillId="0" borderId="0" xfId="32" applyFont="1"/>
    <xf numFmtId="0" fontId="33" fillId="0" borderId="0" xfId="32" applyFont="1" applyAlignment="1">
      <alignment horizontal="center"/>
    </xf>
    <xf numFmtId="0" fontId="34" fillId="0" borderId="0" xfId="32" applyFont="1"/>
    <xf numFmtId="0" fontId="35" fillId="0" borderId="0" xfId="31" applyFont="1" applyFill="1" applyBorder="1"/>
    <xf numFmtId="0" fontId="33" fillId="0" borderId="0" xfId="0" applyFont="1" applyBorder="1"/>
    <xf numFmtId="0" fontId="33" fillId="0" borderId="0" xfId="0" applyFont="1"/>
    <xf numFmtId="3" fontId="33" fillId="0" borderId="0" xfId="0" applyNumberFormat="1" applyFont="1"/>
    <xf numFmtId="0" fontId="4" fillId="0" borderId="0" xfId="31" applyFont="1"/>
    <xf numFmtId="0" fontId="4" fillId="0" borderId="0" xfId="31" applyFont="1" applyBorder="1" applyAlignment="1">
      <alignment horizontal="center"/>
    </xf>
    <xf numFmtId="0" fontId="12" fillId="0" borderId="0" xfId="31" applyFont="1" applyBorder="1"/>
    <xf numFmtId="0" fontId="42" fillId="0" borderId="0" xfId="31" applyFont="1" applyBorder="1"/>
    <xf numFmtId="0" fontId="4" fillId="0" borderId="0" xfId="31" applyFont="1" applyBorder="1"/>
    <xf numFmtId="0" fontId="36" fillId="0" borderId="0" xfId="31" applyFont="1" applyAlignment="1">
      <alignment horizontal="right"/>
    </xf>
    <xf numFmtId="0" fontId="33" fillId="0" borderId="0" xfId="31" applyFont="1" applyAlignment="1">
      <alignment horizontal="center" vertical="center"/>
    </xf>
    <xf numFmtId="0" fontId="34" fillId="0" borderId="0" xfId="31" applyFont="1"/>
    <xf numFmtId="0" fontId="9" fillId="0" borderId="0" xfId="2" quotePrefix="1" applyAlignment="1" applyProtection="1"/>
    <xf numFmtId="0" fontId="10" fillId="0" borderId="0" xfId="2" applyFont="1" applyAlignment="1" applyProtection="1"/>
    <xf numFmtId="14" fontId="13" fillId="0" borderId="0" xfId="0" applyNumberFormat="1" applyFont="1" applyAlignment="1">
      <alignment horizontal="left" vertical="center" indent="1"/>
    </xf>
    <xf numFmtId="0" fontId="13" fillId="0" borderId="0" xfId="0" applyFont="1" applyFill="1"/>
    <xf numFmtId="0" fontId="13" fillId="0" borderId="0" xfId="0" applyNumberFormat="1" applyFont="1" applyAlignment="1">
      <alignment horizontal="right"/>
    </xf>
    <xf numFmtId="0" fontId="13" fillId="0" borderId="0" xfId="0" applyNumberFormat="1" applyFont="1" applyAlignment="1"/>
    <xf numFmtId="0" fontId="36" fillId="0" borderId="0" xfId="31" applyFont="1" applyFill="1" applyBorder="1"/>
    <xf numFmtId="0" fontId="4" fillId="0" borderId="17" xfId="0" applyFont="1" applyFill="1" applyBorder="1" applyAlignment="1">
      <alignment horizontal="left" vertical="center"/>
    </xf>
    <xf numFmtId="0" fontId="4" fillId="0" borderId="0" xfId="0" applyFont="1" applyFill="1"/>
    <xf numFmtId="0" fontId="5"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NumberFormat="1" applyFont="1" applyFill="1" applyBorder="1" applyAlignment="1"/>
    <xf numFmtId="0" fontId="45" fillId="0" borderId="0" xfId="0" applyFont="1"/>
    <xf numFmtId="0" fontId="47" fillId="0" borderId="0" xfId="0" applyFont="1"/>
    <xf numFmtId="0" fontId="5" fillId="0" borderId="0" xfId="0" applyFont="1" applyFill="1" applyBorder="1" applyAlignment="1">
      <alignment horizontal="center" vertical="center"/>
    </xf>
    <xf numFmtId="0" fontId="8" fillId="0" borderId="0" xfId="0" applyFont="1" applyBorder="1"/>
    <xf numFmtId="0" fontId="4" fillId="0" borderId="0" xfId="0" applyFont="1" applyFill="1" applyBorder="1"/>
    <xf numFmtId="0" fontId="27" fillId="0" borderId="20" xfId="0" applyFont="1" applyBorder="1"/>
    <xf numFmtId="0" fontId="0" fillId="0" borderId="20" xfId="0" applyBorder="1"/>
    <xf numFmtId="0" fontId="33" fillId="0" borderId="0" xfId="0" applyFont="1" applyFill="1" applyBorder="1" applyAlignment="1">
      <alignment horizontal="center" vertical="center"/>
    </xf>
    <xf numFmtId="0" fontId="34" fillId="0" borderId="0" xfId="0" applyFont="1" applyFill="1" applyBorder="1" applyAlignment="1">
      <alignment horizontal="right" wrapText="1"/>
    </xf>
    <xf numFmtId="0" fontId="34" fillId="0" borderId="29" xfId="0" applyFont="1" applyBorder="1" applyAlignment="1">
      <alignment horizontal="center" vertical="center"/>
    </xf>
    <xf numFmtId="0" fontId="34" fillId="0" borderId="24" xfId="0" applyFont="1" applyBorder="1" applyAlignment="1">
      <alignment horizontal="center" vertical="center"/>
    </xf>
    <xf numFmtId="0" fontId="34" fillId="0" borderId="0" xfId="0" applyFont="1" applyFill="1" applyBorder="1"/>
    <xf numFmtId="0" fontId="33" fillId="0" borderId="25" xfId="0" applyFont="1" applyBorder="1" applyAlignment="1">
      <alignment horizontal="center" vertical="center"/>
    </xf>
    <xf numFmtId="0" fontId="34" fillId="0" borderId="30" xfId="0" applyFont="1" applyBorder="1" applyAlignment="1">
      <alignment horizontal="center" vertical="center"/>
    </xf>
    <xf numFmtId="2" fontId="34" fillId="0" borderId="0" xfId="0" applyNumberFormat="1" applyFont="1" applyFill="1" applyBorder="1"/>
    <xf numFmtId="0" fontId="33" fillId="26" borderId="30" xfId="0" applyFont="1" applyFill="1" applyBorder="1" applyAlignment="1">
      <alignment horizontal="center" vertical="center"/>
    </xf>
    <xf numFmtId="0" fontId="50" fillId="0" borderId="0" xfId="0" applyFont="1"/>
    <xf numFmtId="0" fontId="38" fillId="0" borderId="0" xfId="0" applyFont="1" applyAlignment="1" applyProtection="1">
      <alignment vertical="center"/>
    </xf>
    <xf numFmtId="0" fontId="51" fillId="0" borderId="0" xfId="0" applyFont="1"/>
    <xf numFmtId="0" fontId="52" fillId="0" borderId="0" xfId="40" quotePrefix="1" applyFont="1" applyBorder="1" applyAlignment="1" applyProtection="1">
      <alignment horizontal="center" vertical="center" wrapText="1"/>
    </xf>
    <xf numFmtId="0" fontId="54" fillId="0" borderId="0" xfId="0" applyFont="1" applyFill="1" applyBorder="1" applyAlignment="1">
      <alignment horizontal="right"/>
    </xf>
    <xf numFmtId="0" fontId="52" fillId="21" borderId="0" xfId="0" applyFont="1" applyFill="1" applyBorder="1" applyAlignment="1">
      <alignment horizontal="center" vertical="center" wrapText="1"/>
    </xf>
    <xf numFmtId="3" fontId="4" fillId="0" borderId="0" xfId="0" applyNumberFormat="1" applyFont="1" applyFill="1" applyBorder="1"/>
    <xf numFmtId="0" fontId="45" fillId="0" borderId="0" xfId="0" applyFont="1" applyFill="1" applyBorder="1" applyAlignment="1">
      <alignment horizontal="left"/>
    </xf>
    <xf numFmtId="49" fontId="4" fillId="0" borderId="52" xfId="0" applyNumberFormat="1" applyFont="1" applyBorder="1" applyAlignment="1" applyProtection="1">
      <alignment horizontal="center" vertical="center" wrapText="1"/>
    </xf>
    <xf numFmtId="0" fontId="38" fillId="0" borderId="0" xfId="43" applyFont="1" applyBorder="1" applyAlignment="1" applyProtection="1">
      <alignment horizontal="left" vertical="center"/>
    </xf>
    <xf numFmtId="0" fontId="45" fillId="0" borderId="0" xfId="0" applyFont="1" applyAlignment="1" applyProtection="1">
      <alignment vertical="center"/>
    </xf>
    <xf numFmtId="0" fontId="45" fillId="21" borderId="0" xfId="0" applyFont="1" applyFill="1" applyAlignment="1" applyProtection="1">
      <alignment vertical="center"/>
    </xf>
    <xf numFmtId="0" fontId="27" fillId="0" borderId="0" xfId="0" applyFont="1" applyProtection="1"/>
    <xf numFmtId="0" fontId="27" fillId="0" borderId="0" xfId="0" applyFont="1" applyBorder="1" applyProtection="1"/>
    <xf numFmtId="49" fontId="13"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13" fillId="0" borderId="7" xfId="0" applyFont="1" applyFill="1" applyBorder="1" applyAlignment="1" applyProtection="1">
      <alignment horizontal="left" vertical="center" wrapText="1"/>
    </xf>
    <xf numFmtId="49" fontId="4"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left" vertical="center" wrapText="1"/>
    </xf>
    <xf numFmtId="0" fontId="37" fillId="0" borderId="0" xfId="0" applyFont="1"/>
    <xf numFmtId="0" fontId="13" fillId="22" borderId="9" xfId="0" applyFont="1" applyFill="1" applyBorder="1" applyAlignment="1" applyProtection="1">
      <alignment horizontal="center" vertical="center"/>
    </xf>
    <xf numFmtId="0" fontId="45" fillId="0" borderId="0" xfId="0" applyFont="1" applyProtection="1"/>
    <xf numFmtId="0" fontId="0" fillId="0" borderId="0" xfId="0" applyNumberFormat="1"/>
    <xf numFmtId="0" fontId="38" fillId="21" borderId="0" xfId="40" applyFont="1" applyFill="1" applyAlignment="1" applyProtection="1">
      <alignment vertical="center"/>
    </xf>
    <xf numFmtId="0" fontId="38" fillId="0" borderId="0" xfId="40" applyFont="1" applyAlignment="1" applyProtection="1">
      <alignment vertical="center"/>
    </xf>
    <xf numFmtId="0" fontId="38" fillId="0" borderId="0" xfId="40" applyFont="1" applyBorder="1" applyProtection="1"/>
    <xf numFmtId="0" fontId="20" fillId="0" borderId="0" xfId="0" applyFont="1"/>
    <xf numFmtId="0" fontId="52" fillId="0" borderId="0" xfId="40" applyFont="1" applyAlignment="1" applyProtection="1">
      <alignment vertical="center"/>
    </xf>
    <xf numFmtId="0" fontId="56" fillId="0" borderId="0" xfId="40" applyFont="1" applyAlignment="1" applyProtection="1">
      <alignment vertical="center"/>
    </xf>
    <xf numFmtId="0" fontId="57" fillId="0" borderId="0" xfId="40" applyFont="1" applyAlignment="1" applyProtection="1">
      <alignment vertical="center"/>
    </xf>
    <xf numFmtId="0" fontId="59" fillId="0" borderId="0" xfId="0" applyFont="1" applyAlignment="1">
      <alignment vertical="center"/>
    </xf>
    <xf numFmtId="2" fontId="45" fillId="0" borderId="0" xfId="0" applyNumberFormat="1" applyFont="1" applyAlignment="1">
      <alignment horizontal="center"/>
    </xf>
    <xf numFmtId="0" fontId="34" fillId="0" borderId="0" xfId="0" applyFont="1" applyAlignment="1">
      <alignment horizontal="right"/>
    </xf>
    <xf numFmtId="2" fontId="45" fillId="0" borderId="0" xfId="0" applyNumberFormat="1" applyFont="1" applyBorder="1" applyAlignment="1">
      <alignment horizontal="center"/>
    </xf>
    <xf numFmtId="2" fontId="11" fillId="0" borderId="0" xfId="0" applyNumberFormat="1" applyFont="1"/>
    <xf numFmtId="0" fontId="45" fillId="0" borderId="0" xfId="0" applyFont="1" applyAlignment="1">
      <alignment horizontal="center"/>
    </xf>
    <xf numFmtId="2" fontId="45" fillId="0" borderId="0" xfId="0" applyNumberFormat="1" applyFont="1" applyFill="1" applyBorder="1"/>
    <xf numFmtId="2" fontId="45" fillId="0" borderId="0" xfId="0" applyNumberFormat="1" applyFont="1" applyFill="1"/>
    <xf numFmtId="0" fontId="60" fillId="0" borderId="0" xfId="0" applyFont="1" applyAlignment="1">
      <alignment vertical="center"/>
    </xf>
    <xf numFmtId="0" fontId="62" fillId="0" borderId="0" xfId="0" applyFont="1"/>
    <xf numFmtId="3" fontId="4" fillId="0" borderId="7" xfId="0" applyNumberFormat="1" applyFont="1" applyBorder="1" applyAlignment="1" applyProtection="1">
      <alignment vertical="center"/>
    </xf>
    <xf numFmtId="3" fontId="13" fillId="0" borderId="7" xfId="0" applyNumberFormat="1" applyFont="1" applyFill="1" applyBorder="1" applyAlignment="1" applyProtection="1">
      <alignment vertical="center"/>
    </xf>
    <xf numFmtId="3" fontId="4" fillId="0" borderId="7" xfId="0" applyNumberFormat="1" applyFont="1" applyFill="1" applyBorder="1" applyAlignment="1" applyProtection="1">
      <alignment vertical="center"/>
    </xf>
    <xf numFmtId="0" fontId="11" fillId="22" borderId="9" xfId="0" applyFont="1" applyFill="1" applyBorder="1" applyAlignment="1" applyProtection="1">
      <alignment horizontal="center" vertical="center"/>
    </xf>
    <xf numFmtId="3" fontId="13" fillId="22" borderId="9" xfId="0" applyNumberFormat="1" applyFont="1" applyFill="1" applyBorder="1" applyAlignment="1" applyProtection="1">
      <alignment vertical="center"/>
    </xf>
    <xf numFmtId="3" fontId="4" fillId="0" borderId="62" xfId="0" applyNumberFormat="1" applyFont="1" applyFill="1" applyBorder="1" applyAlignment="1" applyProtection="1">
      <alignment vertical="center"/>
    </xf>
    <xf numFmtId="0" fontId="33" fillId="2" borderId="40" xfId="0" applyFont="1" applyFill="1" applyBorder="1" applyAlignment="1">
      <alignment horizontal="center" vertical="center"/>
    </xf>
    <xf numFmtId="0" fontId="34" fillId="0" borderId="0" xfId="0" applyFont="1" applyFill="1"/>
    <xf numFmtId="0" fontId="5" fillId="0" borderId="0" xfId="0" applyFont="1" applyAlignment="1">
      <alignment horizontal="right"/>
    </xf>
    <xf numFmtId="0" fontId="11" fillId="0" borderId="0" xfId="0" applyFont="1" applyBorder="1" applyAlignment="1">
      <alignment horizontal="center" vertical="center"/>
    </xf>
    <xf numFmtId="0" fontId="4" fillId="0" borderId="51" xfId="0" applyFont="1" applyFill="1" applyBorder="1" applyAlignment="1">
      <alignment horizontal="left" vertical="center"/>
    </xf>
    <xf numFmtId="0" fontId="31" fillId="0" borderId="17" xfId="0" applyFont="1" applyFill="1" applyBorder="1" applyAlignment="1">
      <alignment vertical="center" wrapText="1"/>
    </xf>
    <xf numFmtId="0" fontId="31" fillId="0" borderId="21" xfId="0" applyFont="1" applyFill="1" applyBorder="1" applyAlignment="1">
      <alignment vertical="center" wrapText="1"/>
    </xf>
    <xf numFmtId="0" fontId="63" fillId="0" borderId="0" xfId="2" quotePrefix="1" applyFont="1" applyAlignment="1" applyProtection="1"/>
    <xf numFmtId="0" fontId="4" fillId="0" borderId="15" xfId="0" applyFont="1" applyFill="1" applyBorder="1" applyAlignment="1">
      <alignment vertical="center" wrapText="1"/>
    </xf>
    <xf numFmtId="0" fontId="4" fillId="0" borderId="0" xfId="31" applyFont="1" applyFill="1"/>
    <xf numFmtId="0" fontId="0" fillId="0" borderId="0" xfId="0" applyFill="1"/>
    <xf numFmtId="0" fontId="5" fillId="0" borderId="0" xfId="0" applyFont="1" applyAlignment="1">
      <alignment horizontal="right"/>
    </xf>
    <xf numFmtId="172" fontId="52" fillId="0" borderId="0" xfId="40" applyNumberFormat="1" applyFont="1" applyAlignment="1" applyProtection="1">
      <alignment vertical="center"/>
    </xf>
    <xf numFmtId="0" fontId="33" fillId="26" borderId="1" xfId="0" applyFont="1" applyFill="1" applyBorder="1" applyAlignment="1">
      <alignment horizontal="center" vertical="center"/>
    </xf>
    <xf numFmtId="2" fontId="34" fillId="2" borderId="35" xfId="0" applyNumberFormat="1" applyFont="1" applyFill="1" applyBorder="1"/>
    <xf numFmtId="0" fontId="11" fillId="0" borderId="0" xfId="0" applyNumberFormat="1" applyFont="1" applyAlignment="1">
      <alignment horizontal="center" vertical="center"/>
    </xf>
    <xf numFmtId="0" fontId="20" fillId="30" borderId="0" xfId="32" applyFill="1"/>
    <xf numFmtId="49" fontId="66" fillId="0" borderId="0" xfId="32" applyNumberFormat="1" applyFont="1" applyBorder="1" applyAlignment="1">
      <alignment vertical="center"/>
    </xf>
    <xf numFmtId="0" fontId="67" fillId="0" borderId="0" xfId="32" applyFont="1"/>
    <xf numFmtId="0" fontId="66" fillId="0" borderId="0" xfId="32" applyNumberFormat="1" applyFont="1" applyBorder="1" applyAlignment="1">
      <alignment vertical="center"/>
    </xf>
    <xf numFmtId="49" fontId="66" fillId="0" borderId="5" xfId="32" applyNumberFormat="1" applyFont="1" applyBorder="1" applyAlignment="1">
      <alignment horizontal="left" vertical="center"/>
    </xf>
    <xf numFmtId="49" fontId="67" fillId="0" borderId="17" xfId="32" applyNumberFormat="1" applyFont="1" applyBorder="1" applyAlignment="1">
      <alignment horizontal="left" vertical="center"/>
    </xf>
    <xf numFmtId="49" fontId="66" fillId="0" borderId="17" xfId="32" applyNumberFormat="1" applyFont="1" applyBorder="1" applyAlignment="1">
      <alignment horizontal="left" vertical="center"/>
    </xf>
    <xf numFmtId="49" fontId="66" fillId="21" borderId="24" xfId="32" applyNumberFormat="1" applyFont="1" applyFill="1" applyBorder="1" applyAlignment="1" applyProtection="1">
      <alignment horizontal="left" vertical="center"/>
    </xf>
    <xf numFmtId="49" fontId="66" fillId="21" borderId="17" xfId="32" applyNumberFormat="1" applyFont="1" applyFill="1" applyBorder="1" applyAlignment="1" applyProtection="1">
      <alignment horizontal="left" vertical="center"/>
    </xf>
    <xf numFmtId="49" fontId="66" fillId="21" borderId="39" xfId="32" applyNumberFormat="1" applyFont="1" applyFill="1" applyBorder="1" applyAlignment="1" applyProtection="1">
      <alignment horizontal="center" vertical="center"/>
    </xf>
    <xf numFmtId="0" fontId="69" fillId="0" borderId="23" xfId="32" applyNumberFormat="1" applyFont="1" applyFill="1" applyBorder="1" applyAlignment="1" applyProtection="1">
      <alignment horizontal="left" vertical="center"/>
      <protection locked="0"/>
    </xf>
    <xf numFmtId="0" fontId="69" fillId="0" borderId="15" xfId="32" applyNumberFormat="1" applyFont="1" applyFill="1" applyBorder="1" applyAlignment="1" applyProtection="1">
      <alignment horizontal="left" vertical="center"/>
      <protection locked="0"/>
    </xf>
    <xf numFmtId="14" fontId="66" fillId="0" borderId="0" xfId="32" applyNumberFormat="1" applyFont="1"/>
    <xf numFmtId="0" fontId="66" fillId="0" borderId="0" xfId="32" applyFont="1" applyAlignment="1">
      <alignment horizontal="right"/>
    </xf>
    <xf numFmtId="0" fontId="67" fillId="0" borderId="0" xfId="32" applyFont="1" applyAlignment="1"/>
    <xf numFmtId="0" fontId="67" fillId="0" borderId="0" xfId="32" applyNumberFormat="1" applyFont="1" applyAlignment="1"/>
    <xf numFmtId="49" fontId="67" fillId="0" borderId="0" xfId="32" applyNumberFormat="1" applyFont="1" applyAlignment="1">
      <alignment horizontal="right"/>
    </xf>
    <xf numFmtId="0" fontId="69" fillId="0" borderId="0" xfId="32" applyNumberFormat="1" applyFont="1" applyAlignment="1">
      <alignment horizontal="center"/>
    </xf>
    <xf numFmtId="0" fontId="67" fillId="0" borderId="0" xfId="32" applyNumberFormat="1" applyFont="1"/>
    <xf numFmtId="0" fontId="69" fillId="0" borderId="0" xfId="32" applyFont="1"/>
    <xf numFmtId="0" fontId="67" fillId="0" borderId="0" xfId="32" applyNumberFormat="1" applyFont="1" applyAlignment="1">
      <alignment horizontal="left"/>
    </xf>
    <xf numFmtId="49" fontId="67" fillId="0" borderId="0" xfId="32" applyNumberFormat="1" applyFont="1" applyAlignment="1"/>
    <xf numFmtId="0" fontId="69" fillId="0" borderId="0" xfId="32" applyNumberFormat="1" applyFont="1" applyAlignment="1"/>
    <xf numFmtId="0" fontId="7" fillId="0" borderId="0" xfId="0" applyFont="1" applyBorder="1" applyAlignment="1">
      <alignment wrapText="1"/>
    </xf>
    <xf numFmtId="0" fontId="11" fillId="0" borderId="20" xfId="42" applyNumberFormat="1" applyFont="1" applyBorder="1" applyAlignment="1">
      <alignment horizontal="center"/>
    </xf>
    <xf numFmtId="0" fontId="12" fillId="0" borderId="0" xfId="0" applyFont="1" applyFill="1" applyBorder="1" applyAlignment="1"/>
    <xf numFmtId="0" fontId="0" fillId="29" borderId="0" xfId="0" applyFill="1"/>
    <xf numFmtId="0" fontId="45" fillId="29" borderId="0" xfId="0" applyFont="1" applyFill="1" applyAlignment="1">
      <alignment vertical="center"/>
    </xf>
    <xf numFmtId="49" fontId="66" fillId="21" borderId="26" xfId="32" applyNumberFormat="1" applyFont="1" applyFill="1" applyBorder="1" applyAlignment="1" applyProtection="1">
      <alignment horizontal="left" vertical="center"/>
    </xf>
    <xf numFmtId="0" fontId="34" fillId="29" borderId="0" xfId="0" applyFont="1" applyFill="1" applyBorder="1"/>
    <xf numFmtId="14" fontId="33" fillId="29" borderId="0" xfId="0" applyNumberFormat="1" applyFont="1" applyFill="1" applyBorder="1" applyAlignment="1"/>
    <xf numFmtId="0" fontId="34" fillId="29" borderId="0" xfId="0" applyNumberFormat="1" applyFont="1" applyFill="1" applyBorder="1" applyAlignment="1"/>
    <xf numFmtId="0" fontId="33" fillId="29" borderId="0" xfId="0" applyNumberFormat="1" applyFont="1" applyFill="1" applyBorder="1" applyAlignment="1">
      <alignment horizontal="right"/>
    </xf>
    <xf numFmtId="49" fontId="34" fillId="29" borderId="0" xfId="0" applyNumberFormat="1" applyFont="1" applyFill="1" applyBorder="1" applyAlignment="1">
      <alignment horizontal="right"/>
    </xf>
    <xf numFmtId="0" fontId="34" fillId="29" borderId="0" xfId="0" applyNumberFormat="1" applyFont="1" applyFill="1" applyBorder="1"/>
    <xf numFmtId="0" fontId="35" fillId="29" borderId="0" xfId="0" applyNumberFormat="1" applyFont="1" applyFill="1" applyBorder="1" applyAlignment="1">
      <alignment horizontal="center"/>
    </xf>
    <xf numFmtId="49" fontId="33" fillId="29" borderId="0" xfId="0" applyNumberFormat="1" applyFont="1" applyFill="1" applyBorder="1" applyAlignment="1">
      <alignment horizontal="right"/>
    </xf>
    <xf numFmtId="0" fontId="38" fillId="0" borderId="0" xfId="32" applyFont="1" applyAlignment="1" applyProtection="1">
      <alignment vertical="center"/>
    </xf>
    <xf numFmtId="0" fontId="38" fillId="21" borderId="0" xfId="32" applyFont="1" applyFill="1" applyAlignment="1" applyProtection="1">
      <alignment vertical="center"/>
    </xf>
    <xf numFmtId="0" fontId="4" fillId="30" borderId="0" xfId="32" applyFont="1" applyFill="1"/>
    <xf numFmtId="0" fontId="13" fillId="30" borderId="0" xfId="32" applyFont="1" applyFill="1" applyBorder="1" applyAlignment="1">
      <alignment horizontal="center" wrapText="1"/>
    </xf>
    <xf numFmtId="49" fontId="4" fillId="30" borderId="0" xfId="32" applyNumberFormat="1" applyFont="1" applyFill="1" applyBorder="1" applyAlignment="1" applyProtection="1">
      <alignment horizontal="center" vertical="center"/>
      <protection locked="0"/>
    </xf>
    <xf numFmtId="3" fontId="4" fillId="30" borderId="0" xfId="32" applyNumberFormat="1" applyFont="1" applyFill="1" applyBorder="1" applyAlignment="1" applyProtection="1">
      <alignment horizontal="center" vertical="center"/>
      <protection locked="0"/>
    </xf>
    <xf numFmtId="0" fontId="36" fillId="30" borderId="0" xfId="31" applyFont="1" applyFill="1" applyBorder="1"/>
    <xf numFmtId="0" fontId="34" fillId="30" borderId="0" xfId="32" applyFont="1" applyFill="1"/>
    <xf numFmtId="0" fontId="4" fillId="30" borderId="0" xfId="32" applyFont="1" applyFill="1" applyAlignment="1">
      <alignment horizontal="center"/>
    </xf>
    <xf numFmtId="0" fontId="36" fillId="30" borderId="0" xfId="32" applyFont="1" applyFill="1" applyAlignment="1">
      <alignment horizontal="left" vertical="center" wrapText="1"/>
    </xf>
    <xf numFmtId="0" fontId="8" fillId="30" borderId="0" xfId="32" applyFont="1" applyFill="1"/>
    <xf numFmtId="0" fontId="4" fillId="30" borderId="0" xfId="32" applyFont="1" applyFill="1" applyAlignment="1">
      <alignment wrapText="1"/>
    </xf>
    <xf numFmtId="3" fontId="4" fillId="30" borderId="0" xfId="32" applyNumberFormat="1" applyFont="1" applyFill="1" applyAlignment="1">
      <alignment horizontal="center"/>
    </xf>
    <xf numFmtId="0" fontId="20" fillId="30" borderId="0" xfId="32" applyFont="1" applyFill="1"/>
    <xf numFmtId="0" fontId="65" fillId="30" borderId="0" xfId="32" applyFont="1" applyFill="1"/>
    <xf numFmtId="0" fontId="47" fillId="30" borderId="0" xfId="32" applyFont="1" applyFill="1"/>
    <xf numFmtId="0" fontId="48" fillId="30" borderId="0" xfId="2" quotePrefix="1" applyFont="1" applyFill="1" applyAlignment="1" applyProtection="1"/>
    <xf numFmtId="0" fontId="48" fillId="30" borderId="0" xfId="2" applyFont="1" applyFill="1" applyAlignment="1" applyProtection="1"/>
    <xf numFmtId="0" fontId="28" fillId="30" borderId="0" xfId="40" applyFont="1" applyFill="1" applyAlignment="1" applyProtection="1">
      <alignment vertical="center"/>
    </xf>
    <xf numFmtId="0" fontId="28" fillId="30" borderId="0" xfId="40" applyFont="1" applyFill="1" applyAlignment="1" applyProtection="1">
      <alignment horizontal="center" vertical="center"/>
    </xf>
    <xf numFmtId="0" fontId="13" fillId="30" borderId="0" xfId="32" applyFont="1" applyFill="1" applyAlignment="1">
      <alignment horizontal="center"/>
    </xf>
    <xf numFmtId="0" fontId="4" fillId="30" borderId="0" xfId="45" applyFont="1" applyFill="1"/>
    <xf numFmtId="49" fontId="4" fillId="30" borderId="0" xfId="45" applyNumberFormat="1" applyFont="1" applyFill="1" applyAlignment="1">
      <alignment horizontal="right"/>
    </xf>
    <xf numFmtId="0" fontId="4" fillId="30" borderId="0" xfId="45" applyNumberFormat="1" applyFont="1" applyFill="1" applyAlignment="1"/>
    <xf numFmtId="0" fontId="0" fillId="30" borderId="0" xfId="0" applyFill="1"/>
    <xf numFmtId="0" fontId="66" fillId="0" borderId="0" xfId="32" applyNumberFormat="1" applyFont="1" applyAlignment="1">
      <alignment horizontal="right"/>
    </xf>
    <xf numFmtId="0" fontId="41" fillId="0" borderId="0" xfId="0" applyFont="1" applyAlignment="1"/>
    <xf numFmtId="0" fontId="35" fillId="0" borderId="0" xfId="0" applyFont="1" applyAlignment="1"/>
    <xf numFmtId="0" fontId="36" fillId="0" borderId="0" xfId="0" applyFont="1" applyAlignment="1"/>
    <xf numFmtId="0" fontId="4" fillId="30" borderId="0" xfId="0" applyFont="1" applyFill="1"/>
    <xf numFmtId="0" fontId="5" fillId="30" borderId="0" xfId="0" applyFont="1" applyFill="1" applyAlignment="1">
      <alignment horizontal="right"/>
    </xf>
    <xf numFmtId="49" fontId="12" fillId="30" borderId="2" xfId="0" applyNumberFormat="1" applyFont="1" applyFill="1" applyBorder="1" applyAlignment="1">
      <alignment horizontal="left" vertical="center"/>
    </xf>
    <xf numFmtId="49" fontId="27" fillId="30" borderId="5" xfId="0" applyNumberFormat="1" applyFont="1" applyFill="1" applyBorder="1" applyAlignment="1">
      <alignment horizontal="left" vertical="center"/>
    </xf>
    <xf numFmtId="49" fontId="27" fillId="30" borderId="17" xfId="0" applyNumberFormat="1" applyFont="1" applyFill="1" applyBorder="1" applyAlignment="1">
      <alignment horizontal="left" vertical="center"/>
    </xf>
    <xf numFmtId="49" fontId="27" fillId="30" borderId="39" xfId="0" applyNumberFormat="1" applyFont="1" applyFill="1" applyBorder="1" applyAlignment="1">
      <alignment horizontal="left" vertical="center"/>
    </xf>
    <xf numFmtId="49" fontId="27" fillId="30" borderId="1" xfId="0" applyNumberFormat="1" applyFont="1" applyFill="1" applyBorder="1" applyAlignment="1">
      <alignment horizontal="left" vertical="center"/>
    </xf>
    <xf numFmtId="49" fontId="27" fillId="30" borderId="8" xfId="0" applyNumberFormat="1" applyFont="1" applyFill="1" applyBorder="1" applyAlignment="1">
      <alignment horizontal="left" vertical="center"/>
    </xf>
    <xf numFmtId="49" fontId="27" fillId="30" borderId="3" xfId="0" applyNumberFormat="1" applyFont="1" applyFill="1" applyBorder="1" applyAlignment="1">
      <alignment horizontal="left" vertical="center"/>
    </xf>
    <xf numFmtId="49" fontId="27" fillId="30" borderId="5" xfId="0" applyNumberFormat="1" applyFont="1" applyFill="1" applyBorder="1" applyAlignment="1" applyProtection="1">
      <alignment horizontal="left" vertical="center"/>
    </xf>
    <xf numFmtId="49" fontId="27" fillId="30" borderId="17" xfId="0" applyNumberFormat="1" applyFont="1" applyFill="1" applyBorder="1" applyAlignment="1" applyProtection="1">
      <alignment horizontal="left" vertical="center"/>
    </xf>
    <xf numFmtId="49" fontId="27" fillId="30" borderId="21" xfId="0" applyNumberFormat="1" applyFont="1" applyFill="1" applyBorder="1" applyAlignment="1">
      <alignment horizontal="left" vertical="center"/>
    </xf>
    <xf numFmtId="0" fontId="33" fillId="30" borderId="0" xfId="0" applyNumberFormat="1" applyFont="1" applyFill="1" applyAlignment="1">
      <alignment horizontal="right"/>
    </xf>
    <xf numFmtId="0" fontId="34" fillId="30" borderId="0" xfId="0" applyNumberFormat="1" applyFont="1" applyFill="1" applyAlignment="1"/>
    <xf numFmtId="0" fontId="4" fillId="30" borderId="0" xfId="0" applyFont="1" applyFill="1" applyAlignment="1"/>
    <xf numFmtId="14" fontId="33" fillId="30" borderId="0" xfId="0" applyNumberFormat="1" applyFont="1" applyFill="1" applyAlignment="1">
      <alignment horizontal="left" vertical="center" indent="1"/>
    </xf>
    <xf numFmtId="0" fontId="13" fillId="30" borderId="0" xfId="0" applyFont="1" applyFill="1" applyAlignment="1"/>
    <xf numFmtId="49" fontId="34" fillId="30" borderId="0" xfId="0" applyNumberFormat="1" applyFont="1" applyFill="1" applyAlignment="1">
      <alignment horizontal="right"/>
    </xf>
    <xf numFmtId="0" fontId="4" fillId="30" borderId="0" xfId="0" applyNumberFormat="1" applyFont="1" applyFill="1"/>
    <xf numFmtId="0" fontId="35" fillId="30" borderId="0" xfId="0" applyNumberFormat="1" applyFont="1" applyFill="1" applyAlignment="1">
      <alignment horizontal="center"/>
    </xf>
    <xf numFmtId="0" fontId="4" fillId="30" borderId="0" xfId="0" applyNumberFormat="1" applyFont="1" applyFill="1" applyAlignment="1"/>
    <xf numFmtId="49" fontId="4" fillId="30" borderId="0" xfId="0" applyNumberFormat="1" applyFont="1" applyFill="1" applyAlignment="1">
      <alignment horizontal="right"/>
    </xf>
    <xf numFmtId="0" fontId="34" fillId="30" borderId="0" xfId="0" applyFont="1" applyFill="1"/>
    <xf numFmtId="0" fontId="4" fillId="30" borderId="0" xfId="0" applyNumberFormat="1" applyFont="1" applyFill="1" applyAlignment="1">
      <alignment horizontal="left"/>
    </xf>
    <xf numFmtId="49" fontId="4" fillId="30" borderId="0" xfId="0" applyNumberFormat="1" applyFont="1" applyFill="1" applyAlignment="1"/>
    <xf numFmtId="0" fontId="36" fillId="30" borderId="0" xfId="0" applyNumberFormat="1" applyFont="1" applyFill="1" applyAlignment="1"/>
    <xf numFmtId="0" fontId="67" fillId="30" borderId="0" xfId="32" applyFont="1" applyFill="1"/>
    <xf numFmtId="0" fontId="67" fillId="30" borderId="0" xfId="32" applyNumberFormat="1" applyFont="1" applyFill="1" applyAlignment="1"/>
    <xf numFmtId="49" fontId="67" fillId="30" borderId="0" xfId="32" applyNumberFormat="1" applyFont="1" applyFill="1" applyAlignment="1"/>
    <xf numFmtId="0" fontId="69" fillId="30" borderId="0" xfId="32" applyNumberFormat="1" applyFont="1" applyFill="1" applyAlignment="1"/>
    <xf numFmtId="0" fontId="36" fillId="30" borderId="0" xfId="0" applyFont="1" applyFill="1" applyAlignment="1"/>
    <xf numFmtId="0" fontId="41" fillId="30" borderId="0" xfId="0" applyFont="1" applyFill="1" applyAlignment="1"/>
    <xf numFmtId="0" fontId="35" fillId="30" borderId="0" xfId="31" applyFont="1" applyFill="1" applyBorder="1"/>
    <xf numFmtId="0" fontId="8" fillId="0" borderId="0" xfId="0" applyFont="1" applyFill="1"/>
    <xf numFmtId="0" fontId="61" fillId="0" borderId="0" xfId="0" applyFont="1"/>
    <xf numFmtId="14" fontId="61" fillId="0" borderId="0" xfId="0" applyNumberFormat="1" applyFont="1"/>
    <xf numFmtId="0" fontId="33" fillId="30" borderId="0" xfId="0" applyFont="1" applyFill="1" applyBorder="1"/>
    <xf numFmtId="0" fontId="33" fillId="30" borderId="0" xfId="0" applyFont="1" applyFill="1"/>
    <xf numFmtId="3" fontId="33" fillId="30" borderId="0" xfId="0" applyNumberFormat="1" applyFont="1" applyFill="1"/>
    <xf numFmtId="0" fontId="4" fillId="30" borderId="0" xfId="32" applyFont="1" applyFill="1" applyBorder="1" applyAlignment="1">
      <alignment wrapText="1"/>
    </xf>
    <xf numFmtId="0" fontId="10" fillId="0" borderId="0" xfId="2" quotePrefix="1" applyFont="1" applyFill="1" applyAlignment="1" applyProtection="1"/>
    <xf numFmtId="0" fontId="6" fillId="0" borderId="0" xfId="0" applyFont="1" applyFill="1"/>
    <xf numFmtId="0" fontId="5" fillId="30" borderId="0" xfId="32" applyFont="1" applyFill="1" applyBorder="1" applyAlignment="1">
      <alignment horizontal="right" vertical="center"/>
    </xf>
    <xf numFmtId="3" fontId="33" fillId="34" borderId="65" xfId="49" applyNumberFormat="1" applyFont="1" applyFill="1" applyBorder="1" applyAlignment="1">
      <alignment horizontal="center" wrapText="1"/>
    </xf>
    <xf numFmtId="3" fontId="33" fillId="34" borderId="9" xfId="49" applyNumberFormat="1" applyFont="1" applyFill="1" applyBorder="1" applyAlignment="1">
      <alignment horizontal="center" wrapText="1"/>
    </xf>
    <xf numFmtId="3" fontId="33" fillId="34" borderId="10" xfId="49" applyNumberFormat="1" applyFont="1" applyFill="1" applyBorder="1" applyAlignment="1">
      <alignment horizontal="center" wrapText="1"/>
    </xf>
    <xf numFmtId="0" fontId="13" fillId="35" borderId="1" xfId="49" applyFont="1" applyFill="1" applyBorder="1" applyAlignment="1">
      <alignment horizontal="center" vertical="center"/>
    </xf>
    <xf numFmtId="49" fontId="33" fillId="26" borderId="1" xfId="49" applyNumberFormat="1" applyFont="1" applyFill="1" applyBorder="1" applyAlignment="1">
      <alignment vertical="center"/>
    </xf>
    <xf numFmtId="0" fontId="33" fillId="26" borderId="1" xfId="49" applyFont="1" applyFill="1" applyBorder="1" applyAlignment="1">
      <alignment horizontal="left" vertical="center"/>
    </xf>
    <xf numFmtId="49" fontId="11" fillId="26" borderId="1" xfId="49" applyNumberFormat="1" applyFont="1" applyFill="1" applyBorder="1" applyAlignment="1">
      <alignment vertical="center"/>
    </xf>
    <xf numFmtId="3" fontId="13" fillId="34" borderId="38" xfId="49" applyNumberFormat="1" applyFont="1" applyFill="1" applyBorder="1" applyAlignment="1">
      <alignment horizontal="center" wrapText="1"/>
    </xf>
    <xf numFmtId="3" fontId="13" fillId="34" borderId="9" xfId="49" applyNumberFormat="1" applyFont="1" applyFill="1" applyBorder="1" applyAlignment="1">
      <alignment horizontal="center" wrapText="1"/>
    </xf>
    <xf numFmtId="3" fontId="13" fillId="34" borderId="10" xfId="49" applyNumberFormat="1" applyFont="1" applyFill="1" applyBorder="1" applyAlignment="1">
      <alignment horizontal="center" wrapText="1"/>
    </xf>
    <xf numFmtId="3" fontId="13" fillId="34" borderId="65" xfId="49" applyNumberFormat="1" applyFont="1" applyFill="1" applyBorder="1" applyAlignment="1">
      <alignment horizontal="center" wrapText="1"/>
    </xf>
    <xf numFmtId="3" fontId="4" fillId="36" borderId="52" xfId="49" applyNumberFormat="1" applyFont="1" applyFill="1" applyBorder="1" applyAlignment="1">
      <alignment horizontal="center" vertical="center"/>
    </xf>
    <xf numFmtId="3" fontId="4" fillId="36" borderId="7" xfId="49" applyNumberFormat="1" applyFont="1" applyFill="1" applyBorder="1" applyAlignment="1">
      <alignment horizontal="center" vertical="center"/>
    </xf>
    <xf numFmtId="3" fontId="4" fillId="36" borderId="53" xfId="49" applyNumberFormat="1" applyFont="1" applyFill="1" applyBorder="1" applyAlignment="1">
      <alignment horizontal="center" vertical="center"/>
    </xf>
    <xf numFmtId="3" fontId="4" fillId="36" borderId="32" xfId="49" applyNumberFormat="1" applyFont="1" applyFill="1" applyBorder="1" applyAlignment="1">
      <alignment horizontal="center" vertical="center"/>
    </xf>
    <xf numFmtId="3" fontId="13" fillId="21" borderId="7" xfId="49" applyNumberFormat="1" applyFont="1" applyFill="1" applyBorder="1" applyAlignment="1">
      <alignment horizontal="center" vertical="center"/>
    </xf>
    <xf numFmtId="0" fontId="11" fillId="26" borderId="1" xfId="49" applyFont="1" applyFill="1" applyBorder="1" applyAlignment="1">
      <alignment horizontal="left" vertical="center"/>
    </xf>
    <xf numFmtId="0" fontId="4" fillId="30" borderId="0" xfId="49" applyFont="1" applyFill="1"/>
    <xf numFmtId="0" fontId="79" fillId="30" borderId="0" xfId="49" applyFill="1"/>
    <xf numFmtId="0" fontId="13" fillId="30" borderId="0" xfId="49" applyFont="1" applyFill="1"/>
    <xf numFmtId="0" fontId="65" fillId="30" borderId="0" xfId="49" applyFont="1" applyFill="1"/>
    <xf numFmtId="0" fontId="4" fillId="30" borderId="5" xfId="49" applyFont="1" applyFill="1" applyBorder="1" applyAlignment="1">
      <alignment horizontal="center" vertical="center"/>
    </xf>
    <xf numFmtId="9" fontId="4" fillId="30" borderId="5" xfId="49" applyNumberFormat="1" applyFont="1" applyFill="1" applyBorder="1" applyAlignment="1">
      <alignment horizontal="center" vertical="center"/>
    </xf>
    <xf numFmtId="0" fontId="34" fillId="30" borderId="5" xfId="49" applyFont="1" applyFill="1" applyBorder="1" applyAlignment="1">
      <alignment wrapText="1"/>
    </xf>
    <xf numFmtId="0" fontId="4" fillId="30" borderId="17" xfId="49" applyFont="1" applyFill="1" applyBorder="1" applyAlignment="1">
      <alignment horizontal="center" vertical="center"/>
    </xf>
    <xf numFmtId="9" fontId="4" fillId="30" borderId="17" xfId="49" applyNumberFormat="1" applyFont="1" applyFill="1" applyBorder="1" applyAlignment="1">
      <alignment horizontal="center" vertical="center"/>
    </xf>
    <xf numFmtId="0" fontId="34" fillId="30" borderId="17" xfId="49" applyFont="1" applyFill="1" applyBorder="1" applyAlignment="1">
      <alignment wrapText="1"/>
    </xf>
    <xf numFmtId="3" fontId="4" fillId="30" borderId="52" xfId="49" applyNumberFormat="1" applyFont="1" applyFill="1" applyBorder="1" applyAlignment="1">
      <alignment horizontal="center" vertical="center" wrapText="1"/>
    </xf>
    <xf numFmtId="3" fontId="4" fillId="30" borderId="7" xfId="49" applyNumberFormat="1" applyFont="1" applyFill="1" applyBorder="1" applyAlignment="1">
      <alignment horizontal="center" vertical="center" wrapText="1"/>
    </xf>
    <xf numFmtId="3" fontId="4" fillId="30" borderId="53" xfId="49" applyNumberFormat="1" applyFont="1" applyFill="1" applyBorder="1" applyAlignment="1">
      <alignment horizontal="center" vertical="center" wrapText="1"/>
    </xf>
    <xf numFmtId="49" fontId="34" fillId="30" borderId="17" xfId="49" applyNumberFormat="1" applyFont="1" applyFill="1" applyBorder="1" applyAlignment="1">
      <alignment wrapText="1"/>
    </xf>
    <xf numFmtId="49" fontId="35" fillId="30" borderId="17" xfId="49" applyNumberFormat="1" applyFont="1" applyFill="1" applyBorder="1" applyAlignment="1">
      <alignment horizontal="right" wrapText="1"/>
    </xf>
    <xf numFmtId="9" fontId="4" fillId="30" borderId="17" xfId="50" applyFont="1" applyFill="1" applyBorder="1" applyAlignment="1">
      <alignment horizontal="center" vertical="center"/>
    </xf>
    <xf numFmtId="0" fontId="4" fillId="30" borderId="24" xfId="49" applyFont="1" applyFill="1" applyBorder="1" applyAlignment="1">
      <alignment horizontal="center" vertical="center"/>
    </xf>
    <xf numFmtId="49" fontId="34" fillId="30" borderId="17" xfId="49" applyNumberFormat="1" applyFont="1" applyFill="1" applyBorder="1" applyAlignment="1">
      <alignment horizontal="left" wrapText="1"/>
    </xf>
    <xf numFmtId="49" fontId="34" fillId="30" borderId="39" xfId="49" applyNumberFormat="1" applyFont="1" applyFill="1" applyBorder="1" applyAlignment="1">
      <alignment wrapText="1"/>
    </xf>
    <xf numFmtId="0" fontId="34" fillId="30" borderId="17" xfId="49" applyFont="1" applyFill="1" applyBorder="1" applyAlignment="1">
      <alignment horizontal="center" vertical="center"/>
    </xf>
    <xf numFmtId="0" fontId="34" fillId="30" borderId="5" xfId="49" applyFont="1" applyFill="1" applyBorder="1" applyAlignment="1">
      <alignment horizontal="center" vertical="center"/>
    </xf>
    <xf numFmtId="0" fontId="34" fillId="30" borderId="17" xfId="49" applyFont="1" applyFill="1" applyBorder="1" applyAlignment="1">
      <alignment vertical="center" wrapText="1"/>
    </xf>
    <xf numFmtId="9" fontId="34" fillId="30" borderId="17" xfId="49" applyNumberFormat="1" applyFont="1" applyFill="1" applyBorder="1" applyAlignment="1">
      <alignment horizontal="left" vertical="center"/>
    </xf>
    <xf numFmtId="9" fontId="34" fillId="30" borderId="17" xfId="50" applyFont="1" applyFill="1" applyBorder="1" applyAlignment="1">
      <alignment horizontal="center" vertical="center"/>
    </xf>
    <xf numFmtId="9" fontId="34" fillId="30" borderId="17" xfId="49" applyNumberFormat="1" applyFont="1" applyFill="1" applyBorder="1" applyAlignment="1">
      <alignment horizontal="center" vertical="center"/>
    </xf>
    <xf numFmtId="9" fontId="4" fillId="30" borderId="17" xfId="49" applyNumberFormat="1" applyFont="1" applyFill="1" applyBorder="1" applyAlignment="1">
      <alignment horizontal="left" vertical="center"/>
    </xf>
    <xf numFmtId="49" fontId="4" fillId="30" borderId="0" xfId="49" applyNumberFormat="1" applyFont="1" applyFill="1" applyBorder="1" applyAlignment="1" applyProtection="1">
      <alignment horizontal="left" vertical="center" wrapText="1"/>
    </xf>
    <xf numFmtId="49" fontId="4" fillId="30" borderId="0" xfId="49" applyNumberFormat="1" applyFont="1" applyFill="1" applyBorder="1" applyAlignment="1">
      <alignment vertical="center" wrapText="1"/>
    </xf>
    <xf numFmtId="14" fontId="13" fillId="30" borderId="0" xfId="49" applyNumberFormat="1" applyFont="1" applyFill="1" applyAlignment="1">
      <alignment vertical="center"/>
    </xf>
    <xf numFmtId="0" fontId="4" fillId="30" borderId="0" xfId="0" applyFont="1" applyFill="1" applyAlignment="1">
      <alignment vertical="center"/>
    </xf>
    <xf numFmtId="0" fontId="13" fillId="30" borderId="0" xfId="0" applyNumberFormat="1" applyFont="1" applyFill="1" applyAlignment="1">
      <alignment horizontal="right"/>
    </xf>
    <xf numFmtId="0" fontId="4" fillId="30" borderId="0" xfId="31" applyFont="1" applyFill="1"/>
    <xf numFmtId="0" fontId="29" fillId="30" borderId="0" xfId="0" applyNumberFormat="1" applyFont="1" applyFill="1" applyAlignment="1">
      <alignment horizontal="center"/>
    </xf>
    <xf numFmtId="0" fontId="13" fillId="30" borderId="0" xfId="0" applyNumberFormat="1" applyFont="1" applyFill="1" applyAlignment="1"/>
    <xf numFmtId="49" fontId="13" fillId="30" borderId="0" xfId="0" applyNumberFormat="1" applyFont="1" applyFill="1" applyAlignment="1">
      <alignment horizontal="right"/>
    </xf>
    <xf numFmtId="0" fontId="20" fillId="30" borderId="0" xfId="49" applyFont="1" applyFill="1"/>
    <xf numFmtId="3" fontId="4" fillId="30" borderId="0" xfId="49" applyNumberFormat="1" applyFont="1" applyFill="1" applyAlignment="1">
      <alignment horizontal="center"/>
    </xf>
    <xf numFmtId="2" fontId="4" fillId="30" borderId="0" xfId="49" applyNumberFormat="1" applyFont="1" applyFill="1"/>
    <xf numFmtId="167" fontId="47" fillId="30" borderId="0" xfId="49" applyNumberFormat="1" applyFont="1" applyFill="1"/>
    <xf numFmtId="0" fontId="47" fillId="30" borderId="0" xfId="49" applyFont="1" applyFill="1"/>
    <xf numFmtId="3" fontId="47" fillId="30" borderId="0" xfId="49" applyNumberFormat="1" applyFont="1" applyFill="1"/>
    <xf numFmtId="0" fontId="13" fillId="30" borderId="5" xfId="49" applyFont="1" applyFill="1" applyBorder="1" applyAlignment="1">
      <alignment horizontal="center" vertical="center"/>
    </xf>
    <xf numFmtId="9" fontId="13" fillId="30" borderId="5" xfId="49" applyNumberFormat="1" applyFont="1" applyFill="1" applyBorder="1" applyAlignment="1">
      <alignment horizontal="center" vertical="center"/>
    </xf>
    <xf numFmtId="0" fontId="13" fillId="30" borderId="5" xfId="49" applyFont="1" applyFill="1" applyBorder="1" applyAlignment="1">
      <alignment wrapText="1"/>
    </xf>
    <xf numFmtId="3" fontId="13" fillId="30" borderId="75" xfId="49" applyNumberFormat="1" applyFont="1" applyFill="1" applyBorder="1" applyAlignment="1">
      <alignment horizontal="center" vertical="center" wrapText="1"/>
    </xf>
    <xf numFmtId="3" fontId="13" fillId="30" borderId="73" xfId="49" applyNumberFormat="1" applyFont="1" applyFill="1" applyBorder="1" applyAlignment="1">
      <alignment horizontal="center" vertical="center" wrapText="1"/>
    </xf>
    <xf numFmtId="3" fontId="13" fillId="30" borderId="76" xfId="49" applyNumberFormat="1" applyFont="1" applyFill="1" applyBorder="1" applyAlignment="1">
      <alignment horizontal="center" vertical="center" wrapText="1"/>
    </xf>
    <xf numFmtId="3" fontId="65" fillId="30" borderId="0" xfId="49" applyNumberFormat="1" applyFont="1" applyFill="1"/>
    <xf numFmtId="3" fontId="20" fillId="30" borderId="0" xfId="49" applyNumberFormat="1" applyFont="1" applyFill="1"/>
    <xf numFmtId="0" fontId="13" fillId="30" borderId="17" xfId="49" applyFont="1" applyFill="1" applyBorder="1" applyAlignment="1">
      <alignment horizontal="center" vertical="center"/>
    </xf>
    <xf numFmtId="9" fontId="13" fillId="30" borderId="17" xfId="49" applyNumberFormat="1" applyFont="1" applyFill="1" applyBorder="1" applyAlignment="1">
      <alignment horizontal="center" vertical="center"/>
    </xf>
    <xf numFmtId="0" fontId="13" fillId="30" borderId="17" xfId="49" applyFont="1" applyFill="1" applyBorder="1" applyAlignment="1">
      <alignment wrapText="1"/>
    </xf>
    <xf numFmtId="3" fontId="13" fillId="30" borderId="52" xfId="49" applyNumberFormat="1" applyFont="1" applyFill="1" applyBorder="1" applyAlignment="1">
      <alignment horizontal="center" vertical="center"/>
    </xf>
    <xf numFmtId="3" fontId="13" fillId="30" borderId="7" xfId="49" applyNumberFormat="1" applyFont="1" applyFill="1" applyBorder="1" applyAlignment="1">
      <alignment horizontal="center" vertical="center"/>
    </xf>
    <xf numFmtId="3" fontId="13" fillId="30" borderId="53" xfId="49" applyNumberFormat="1" applyFont="1" applyFill="1" applyBorder="1" applyAlignment="1">
      <alignment horizontal="center" vertical="center"/>
    </xf>
    <xf numFmtId="3" fontId="13" fillId="30" borderId="32" xfId="49" applyNumberFormat="1" applyFont="1" applyFill="1" applyBorder="1" applyAlignment="1">
      <alignment horizontal="center" vertical="center"/>
    </xf>
    <xf numFmtId="0" fontId="13" fillId="30" borderId="17" xfId="49" applyFont="1" applyFill="1" applyBorder="1" applyAlignment="1">
      <alignment horizontal="center"/>
    </xf>
    <xf numFmtId="49" fontId="13" fillId="30" borderId="17" xfId="49" applyNumberFormat="1" applyFont="1" applyFill="1" applyBorder="1" applyAlignment="1">
      <alignment wrapText="1"/>
    </xf>
    <xf numFmtId="0" fontId="65" fillId="30" borderId="0" xfId="49" applyFont="1" applyFill="1" applyAlignment="1">
      <alignment vertical="center"/>
    </xf>
    <xf numFmtId="49" fontId="4" fillId="30" borderId="17" xfId="49" applyNumberFormat="1" applyFont="1" applyFill="1" applyBorder="1" applyAlignment="1">
      <alignment horizontal="left" wrapText="1"/>
    </xf>
    <xf numFmtId="0" fontId="36" fillId="30" borderId="17" xfId="49" applyFont="1" applyFill="1" applyBorder="1" applyAlignment="1">
      <alignment horizontal="center" vertical="center"/>
    </xf>
    <xf numFmtId="9" fontId="36" fillId="30" borderId="17" xfId="50" applyFont="1" applyFill="1" applyBorder="1" applyAlignment="1">
      <alignment horizontal="center" vertical="center"/>
    </xf>
    <xf numFmtId="49" fontId="36" fillId="30" borderId="17" xfId="49" applyNumberFormat="1" applyFont="1" applyFill="1" applyBorder="1" applyAlignment="1">
      <alignment horizontal="right" wrapText="1"/>
    </xf>
    <xf numFmtId="0" fontId="4" fillId="30" borderId="17" xfId="49" applyFont="1" applyFill="1" applyBorder="1" applyAlignment="1">
      <alignment vertical="center" wrapText="1"/>
    </xf>
    <xf numFmtId="0" fontId="13" fillId="30" borderId="24" xfId="49" applyFont="1" applyFill="1" applyBorder="1" applyAlignment="1">
      <alignment horizontal="center" vertical="center"/>
    </xf>
    <xf numFmtId="3" fontId="13" fillId="30" borderId="52" xfId="49" applyNumberFormat="1" applyFont="1" applyFill="1" applyBorder="1" applyAlignment="1">
      <alignment horizontal="center" vertical="center" wrapText="1"/>
    </xf>
    <xf numFmtId="3" fontId="13" fillId="30" borderId="7" xfId="49" applyNumberFormat="1" applyFont="1" applyFill="1" applyBorder="1" applyAlignment="1">
      <alignment horizontal="center" vertical="center" wrapText="1"/>
    </xf>
    <xf numFmtId="3" fontId="13" fillId="30" borderId="53" xfId="49" applyNumberFormat="1" applyFont="1" applyFill="1" applyBorder="1" applyAlignment="1">
      <alignment horizontal="center" vertical="center" wrapText="1"/>
    </xf>
    <xf numFmtId="3" fontId="13" fillId="30" borderId="32" xfId="49" applyNumberFormat="1" applyFont="1" applyFill="1" applyBorder="1" applyAlignment="1">
      <alignment horizontal="center" vertical="center" wrapText="1"/>
    </xf>
    <xf numFmtId="0" fontId="13" fillId="30" borderId="36" xfId="49" applyFont="1" applyFill="1" applyBorder="1" applyAlignment="1">
      <alignment horizontal="center" vertical="center"/>
    </xf>
    <xf numFmtId="3" fontId="13" fillId="30" borderId="56" xfId="49" applyNumberFormat="1" applyFont="1" applyFill="1" applyBorder="1" applyAlignment="1">
      <alignment horizontal="center" vertical="center" wrapText="1"/>
    </xf>
    <xf numFmtId="3" fontId="13" fillId="30" borderId="77" xfId="49" applyNumberFormat="1" applyFont="1" applyFill="1" applyBorder="1" applyAlignment="1">
      <alignment horizontal="center" vertical="center" wrapText="1"/>
    </xf>
    <xf numFmtId="3" fontId="13" fillId="30" borderId="57" xfId="49" applyNumberFormat="1" applyFont="1" applyFill="1" applyBorder="1" applyAlignment="1">
      <alignment horizontal="center" vertical="center" wrapText="1"/>
    </xf>
    <xf numFmtId="3" fontId="13" fillId="30" borderId="79" xfId="49" applyNumberFormat="1" applyFont="1" applyFill="1" applyBorder="1" applyAlignment="1">
      <alignment horizontal="center" vertical="center" wrapText="1"/>
    </xf>
    <xf numFmtId="3" fontId="4" fillId="30" borderId="62" xfId="49" applyNumberFormat="1" applyFont="1" applyFill="1" applyBorder="1" applyAlignment="1">
      <alignment horizontal="center" vertical="center" wrapText="1"/>
    </xf>
    <xf numFmtId="0" fontId="13" fillId="30" borderId="30" xfId="49" applyFont="1" applyFill="1" applyBorder="1" applyAlignment="1">
      <alignment horizontal="center" vertical="center"/>
    </xf>
    <xf numFmtId="9" fontId="13" fillId="30" borderId="30" xfId="49" applyNumberFormat="1" applyFont="1" applyFill="1" applyBorder="1" applyAlignment="1">
      <alignment horizontal="center" vertical="center"/>
    </xf>
    <xf numFmtId="49" fontId="13" fillId="30" borderId="21" xfId="49" applyNumberFormat="1" applyFont="1" applyFill="1" applyBorder="1" applyAlignment="1">
      <alignment wrapText="1"/>
    </xf>
    <xf numFmtId="49" fontId="13" fillId="30" borderId="0" xfId="49" applyNumberFormat="1" applyFont="1" applyFill="1" applyBorder="1" applyAlignment="1">
      <alignment vertical="center"/>
    </xf>
    <xf numFmtId="167" fontId="13" fillId="30" borderId="0" xfId="49" applyNumberFormat="1" applyFont="1" applyFill="1" applyBorder="1" applyAlignment="1">
      <alignment horizontal="right" vertical="center"/>
    </xf>
    <xf numFmtId="0" fontId="79" fillId="30" borderId="0" xfId="49" applyFont="1" applyFill="1"/>
    <xf numFmtId="167" fontId="13" fillId="34" borderId="1" xfId="49" applyNumberFormat="1" applyFont="1" applyFill="1" applyBorder="1" applyAlignment="1">
      <alignment horizontal="center" wrapText="1"/>
    </xf>
    <xf numFmtId="3" fontId="13" fillId="34" borderId="2" xfId="49" applyNumberFormat="1" applyFont="1" applyFill="1" applyBorder="1" applyAlignment="1">
      <alignment horizontal="center" wrapText="1"/>
    </xf>
    <xf numFmtId="3" fontId="13" fillId="30" borderId="17" xfId="49" applyNumberFormat="1" applyFont="1" applyFill="1" applyBorder="1" applyAlignment="1">
      <alignment horizontal="center" vertical="center"/>
    </xf>
    <xf numFmtId="167" fontId="13" fillId="30" borderId="24" xfId="49" applyNumberFormat="1" applyFont="1" applyFill="1" applyBorder="1" applyAlignment="1">
      <alignment horizontal="center" vertical="center"/>
    </xf>
    <xf numFmtId="167" fontId="4" fillId="36" borderId="24" xfId="49" applyNumberFormat="1" applyFont="1" applyFill="1" applyBorder="1" applyAlignment="1">
      <alignment horizontal="center" vertical="center"/>
    </xf>
    <xf numFmtId="3" fontId="4" fillId="36" borderId="17" xfId="49" applyNumberFormat="1" applyFont="1" applyFill="1" applyBorder="1" applyAlignment="1">
      <alignment horizontal="center" vertical="center"/>
    </xf>
    <xf numFmtId="3" fontId="13" fillId="21" borderId="17" xfId="49" applyNumberFormat="1" applyFont="1" applyFill="1" applyBorder="1" applyAlignment="1">
      <alignment horizontal="center" vertical="center"/>
    </xf>
    <xf numFmtId="0" fontId="5" fillId="30" borderId="0" xfId="49" applyFont="1" applyFill="1" applyBorder="1" applyAlignment="1">
      <alignment vertical="center"/>
    </xf>
    <xf numFmtId="0" fontId="5" fillId="30" borderId="0" xfId="49" applyFont="1" applyFill="1" applyBorder="1" applyAlignment="1">
      <alignment horizontal="right" vertical="center"/>
    </xf>
    <xf numFmtId="14" fontId="61" fillId="30" borderId="0" xfId="49" applyNumberFormat="1" applyFont="1" applyFill="1"/>
    <xf numFmtId="0" fontId="61" fillId="30" borderId="0" xfId="0" applyFont="1" applyFill="1" applyAlignment="1">
      <alignment vertical="center"/>
    </xf>
    <xf numFmtId="0" fontId="28" fillId="21" borderId="0" xfId="49" applyFont="1" applyFill="1"/>
    <xf numFmtId="0" fontId="45" fillId="30" borderId="0" xfId="49" applyFont="1" applyFill="1"/>
    <xf numFmtId="0" fontId="45" fillId="30" borderId="0" xfId="49" applyFont="1" applyFill="1" applyAlignment="1">
      <alignment horizontal="center"/>
    </xf>
    <xf numFmtId="0" fontId="45" fillId="30" borderId="0" xfId="49" applyFont="1" applyFill="1" applyAlignment="1">
      <alignment horizontal="left"/>
    </xf>
    <xf numFmtId="0" fontId="11" fillId="30" borderId="0" xfId="49" applyFont="1" applyFill="1" applyBorder="1" applyAlignment="1">
      <alignment horizontal="center"/>
    </xf>
    <xf numFmtId="0" fontId="11" fillId="30" borderId="0" xfId="49" applyFont="1" applyFill="1" applyBorder="1" applyAlignment="1" applyProtection="1">
      <alignment wrapText="1"/>
    </xf>
    <xf numFmtId="0" fontId="11" fillId="30" borderId="0" xfId="49" applyFont="1" applyFill="1" applyBorder="1" applyAlignment="1" applyProtection="1">
      <alignment horizontal="center" wrapText="1"/>
    </xf>
    <xf numFmtId="0" fontId="28" fillId="30" borderId="0" xfId="49" applyFont="1" applyFill="1"/>
    <xf numFmtId="0" fontId="72" fillId="30" borderId="0" xfId="49" applyFont="1" applyFill="1"/>
    <xf numFmtId="0" fontId="30" fillId="30" borderId="0" xfId="49" applyFont="1" applyFill="1"/>
    <xf numFmtId="0" fontId="45" fillId="30" borderId="0" xfId="49" applyFont="1" applyFill="1" applyAlignment="1" applyProtection="1">
      <alignment wrapText="1"/>
    </xf>
    <xf numFmtId="0" fontId="28" fillId="30" borderId="0" xfId="49" applyFont="1" applyFill="1" applyAlignment="1" applyProtection="1">
      <alignment wrapText="1"/>
    </xf>
    <xf numFmtId="0" fontId="11" fillId="30" borderId="0" xfId="49" applyFont="1" applyFill="1" applyAlignment="1" applyProtection="1">
      <alignment wrapText="1"/>
    </xf>
    <xf numFmtId="0" fontId="45" fillId="30" borderId="0" xfId="49" applyFont="1" applyFill="1" applyBorder="1" applyAlignment="1" applyProtection="1">
      <alignment horizontal="left" wrapText="1"/>
    </xf>
    <xf numFmtId="0" fontId="45" fillId="30" borderId="0" xfId="49" applyFont="1" applyFill="1" applyAlignment="1" applyProtection="1">
      <alignment horizontal="center" wrapText="1"/>
    </xf>
    <xf numFmtId="0" fontId="11" fillId="30" borderId="0" xfId="49" applyFont="1" applyFill="1" applyAlignment="1">
      <alignment horizontal="center"/>
    </xf>
    <xf numFmtId="0" fontId="45" fillId="30" borderId="0" xfId="49" applyFont="1" applyFill="1" applyAlignment="1">
      <alignment vertical="center"/>
    </xf>
    <xf numFmtId="14" fontId="11" fillId="30" borderId="0" xfId="49" applyNumberFormat="1" applyFont="1" applyFill="1" applyAlignment="1">
      <alignment vertical="center"/>
    </xf>
    <xf numFmtId="0" fontId="45" fillId="30" borderId="0" xfId="49" applyFont="1" applyFill="1" applyAlignment="1">
      <alignment horizontal="center" vertical="center"/>
    </xf>
    <xf numFmtId="49" fontId="45" fillId="30" borderId="0" xfId="49" applyNumberFormat="1" applyFont="1" applyFill="1" applyAlignment="1">
      <alignment horizontal="center"/>
    </xf>
    <xf numFmtId="0" fontId="49" fillId="30" borderId="0" xfId="49" applyFont="1" applyFill="1"/>
    <xf numFmtId="0" fontId="28" fillId="30" borderId="0" xfId="49" applyFont="1" applyFill="1" applyAlignment="1">
      <alignment horizontal="left" indent="1"/>
    </xf>
    <xf numFmtId="0" fontId="45" fillId="30" borderId="0" xfId="49" applyFont="1" applyFill="1" applyBorder="1" applyAlignment="1" applyProtection="1">
      <alignment horizontal="center" wrapText="1"/>
    </xf>
    <xf numFmtId="0" fontId="45" fillId="30" borderId="0" xfId="49" applyFont="1" applyFill="1" applyAlignment="1" applyProtection="1">
      <alignment horizontal="left" wrapText="1"/>
    </xf>
    <xf numFmtId="0" fontId="46" fillId="30" borderId="0" xfId="49" applyFont="1" applyFill="1" applyBorder="1" applyAlignment="1">
      <alignment vertical="center"/>
    </xf>
    <xf numFmtId="0" fontId="46" fillId="30" borderId="0" xfId="49" applyFont="1" applyFill="1" applyBorder="1" applyAlignment="1">
      <alignment horizontal="right" vertical="center"/>
    </xf>
    <xf numFmtId="0" fontId="28" fillId="30" borderId="20" xfId="49" applyFont="1" applyFill="1" applyBorder="1" applyAlignment="1" applyProtection="1">
      <alignment wrapText="1"/>
    </xf>
    <xf numFmtId="0" fontId="81" fillId="30" borderId="0" xfId="2" quotePrefix="1" applyFont="1" applyFill="1" applyAlignment="1" applyProtection="1"/>
    <xf numFmtId="0" fontId="82" fillId="30" borderId="0" xfId="2" quotePrefix="1" applyFont="1" applyFill="1" applyAlignment="1" applyProtection="1"/>
    <xf numFmtId="0" fontId="81" fillId="30" borderId="0" xfId="2" applyFont="1" applyFill="1" applyAlignment="1" applyProtection="1"/>
    <xf numFmtId="0" fontId="11" fillId="30" borderId="0" xfId="49" applyFont="1" applyFill="1"/>
    <xf numFmtId="174" fontId="73" fillId="30" borderId="0" xfId="49" applyNumberFormat="1" applyFont="1" applyFill="1" applyAlignment="1">
      <alignment horizontal="center"/>
    </xf>
    <xf numFmtId="174" fontId="73" fillId="30" borderId="0" xfId="49" applyNumberFormat="1" applyFont="1" applyFill="1" applyAlignment="1" applyProtection="1">
      <alignment horizontal="center" wrapText="1"/>
    </xf>
    <xf numFmtId="174" fontId="73" fillId="30" borderId="0" xfId="49" applyNumberFormat="1" applyFont="1" applyFill="1" applyAlignment="1">
      <alignment horizontal="center" vertical="center"/>
    </xf>
    <xf numFmtId="174" fontId="73" fillId="30" borderId="0" xfId="49" applyNumberFormat="1" applyFont="1" applyFill="1" applyAlignment="1">
      <alignment vertical="center"/>
    </xf>
    <xf numFmtId="174" fontId="73" fillId="30" borderId="0" xfId="49" applyNumberFormat="1" applyFont="1" applyFill="1" applyBorder="1" applyAlignment="1" applyProtection="1">
      <alignment horizontal="center" wrapText="1"/>
    </xf>
    <xf numFmtId="0" fontId="8" fillId="0" borderId="0" xfId="0" applyFont="1" applyFill="1" applyBorder="1"/>
    <xf numFmtId="0" fontId="5" fillId="0" borderId="0" xfId="0" applyFont="1" applyBorder="1" applyAlignment="1">
      <alignment vertical="center"/>
    </xf>
    <xf numFmtId="3" fontId="20" fillId="30" borderId="0" xfId="32" applyNumberFormat="1" applyFill="1"/>
    <xf numFmtId="0" fontId="10" fillId="30" borderId="0" xfId="2" quotePrefix="1" applyFont="1" applyFill="1" applyAlignment="1" applyProtection="1"/>
    <xf numFmtId="0" fontId="6" fillId="30" borderId="0" xfId="0" applyFont="1" applyFill="1"/>
    <xf numFmtId="0" fontId="9" fillId="30" borderId="0" xfId="2" quotePrefix="1" applyFill="1" applyAlignment="1" applyProtection="1"/>
    <xf numFmtId="0" fontId="10" fillId="30" borderId="0" xfId="2" applyFont="1" applyFill="1" applyAlignment="1" applyProtection="1"/>
    <xf numFmtId="0" fontId="38" fillId="0" borderId="0" xfId="32" applyFont="1"/>
    <xf numFmtId="0" fontId="38" fillId="0" borderId="0" xfId="32" applyFont="1" applyBorder="1"/>
    <xf numFmtId="14" fontId="85" fillId="0" borderId="0" xfId="0" applyNumberFormat="1" applyFont="1" applyFill="1" applyBorder="1" applyAlignment="1">
      <alignment horizontal="left"/>
    </xf>
    <xf numFmtId="0" fontId="11" fillId="22" borderId="9" xfId="0" quotePrefix="1" applyFont="1" applyFill="1" applyBorder="1" applyAlignment="1" applyProtection="1">
      <alignment horizontal="center" vertical="center"/>
    </xf>
    <xf numFmtId="0" fontId="84" fillId="0" borderId="0" xfId="32" applyFont="1" applyBorder="1" applyAlignment="1">
      <alignment vertical="center"/>
    </xf>
    <xf numFmtId="0" fontId="84" fillId="0" borderId="0" xfId="32" applyFont="1" applyBorder="1" applyAlignment="1">
      <alignment horizontal="right" vertical="center"/>
    </xf>
    <xf numFmtId="3" fontId="13" fillId="22" borderId="3" xfId="0" applyNumberFormat="1" applyFont="1" applyFill="1" applyBorder="1" applyAlignment="1" applyProtection="1">
      <alignment vertical="center"/>
    </xf>
    <xf numFmtId="10" fontId="4" fillId="22" borderId="83" xfId="1" applyNumberFormat="1" applyFont="1" applyFill="1" applyBorder="1" applyAlignment="1">
      <alignment horizontal="right" vertical="center"/>
    </xf>
    <xf numFmtId="10" fontId="4" fillId="22" borderId="12" xfId="1" applyNumberFormat="1" applyFont="1" applyFill="1" applyBorder="1" applyAlignment="1">
      <alignment horizontal="right" vertical="center"/>
    </xf>
    <xf numFmtId="2" fontId="4" fillId="22" borderId="83" xfId="1" applyNumberFormat="1" applyFont="1" applyFill="1" applyBorder="1" applyAlignment="1">
      <alignment horizontal="right" vertical="center"/>
    </xf>
    <xf numFmtId="2" fontId="4" fillId="22" borderId="12" xfId="1" applyNumberFormat="1" applyFont="1" applyFill="1" applyBorder="1" applyAlignment="1">
      <alignment horizontal="right" vertical="center"/>
    </xf>
    <xf numFmtId="4" fontId="4" fillId="22" borderId="83" xfId="1" applyNumberFormat="1" applyFont="1" applyFill="1" applyBorder="1" applyAlignment="1">
      <alignment horizontal="right" vertical="center"/>
    </xf>
    <xf numFmtId="4" fontId="4" fillId="22" borderId="12" xfId="1" applyNumberFormat="1" applyFont="1" applyFill="1" applyBorder="1" applyAlignment="1">
      <alignment horizontal="right" vertical="center"/>
    </xf>
    <xf numFmtId="169" fontId="4" fillId="22" borderId="83" xfId="1" applyNumberFormat="1" applyFont="1" applyFill="1" applyBorder="1" applyAlignment="1">
      <alignment horizontal="right" vertical="center"/>
    </xf>
    <xf numFmtId="169" fontId="4" fillId="22" borderId="12" xfId="1" applyNumberFormat="1" applyFont="1" applyFill="1" applyBorder="1" applyAlignment="1">
      <alignment horizontal="right" vertical="center"/>
    </xf>
    <xf numFmtId="2" fontId="4" fillId="22" borderId="84" xfId="1" applyNumberFormat="1" applyFont="1" applyFill="1" applyBorder="1" applyAlignment="1">
      <alignment horizontal="right" vertical="center"/>
    </xf>
    <xf numFmtId="10" fontId="4" fillId="22" borderId="16" xfId="1" applyNumberFormat="1" applyFont="1" applyFill="1" applyBorder="1" applyAlignment="1">
      <alignment horizontal="right" vertical="center"/>
    </xf>
    <xf numFmtId="49" fontId="66" fillId="21" borderId="26" xfId="32" applyNumberFormat="1" applyFont="1" applyFill="1" applyBorder="1" applyAlignment="1" applyProtection="1">
      <alignment horizontal="left" vertical="center"/>
    </xf>
    <xf numFmtId="0" fontId="52" fillId="30" borderId="0" xfId="52" applyFont="1" applyFill="1" applyAlignment="1">
      <alignment vertical="center"/>
    </xf>
    <xf numFmtId="0" fontId="84" fillId="30" borderId="0" xfId="52" applyFont="1" applyFill="1" applyAlignment="1"/>
    <xf numFmtId="0" fontId="52" fillId="30" borderId="0" xfId="52" applyFont="1" applyFill="1"/>
    <xf numFmtId="0" fontId="84" fillId="30" borderId="0" xfId="52" applyFont="1" applyFill="1" applyAlignment="1">
      <alignment horizontal="right"/>
    </xf>
    <xf numFmtId="0" fontId="52" fillId="30" borderId="0" xfId="32" applyFont="1" applyFill="1"/>
    <xf numFmtId="0" fontId="61" fillId="30" borderId="0" xfId="32" applyFont="1" applyFill="1" applyAlignment="1">
      <alignment wrapText="1"/>
    </xf>
    <xf numFmtId="0" fontId="61" fillId="30" borderId="0" xfId="32" applyFont="1" applyFill="1" applyAlignment="1">
      <alignment horizontal="center"/>
    </xf>
    <xf numFmtId="0" fontId="52" fillId="30" borderId="0" xfId="52" applyFont="1" applyFill="1" applyAlignment="1"/>
    <xf numFmtId="3" fontId="52" fillId="21" borderId="0" xfId="52" applyNumberFormat="1" applyFont="1" applyFill="1" applyBorder="1" applyAlignment="1" applyProtection="1">
      <alignment horizontal="right"/>
      <protection locked="0"/>
    </xf>
    <xf numFmtId="3" fontId="52" fillId="29" borderId="0" xfId="52" applyNumberFormat="1" applyFont="1" applyFill="1" applyBorder="1" applyAlignment="1" applyProtection="1">
      <alignment horizontal="right"/>
      <protection locked="0"/>
    </xf>
    <xf numFmtId="0" fontId="52" fillId="29" borderId="0" xfId="52" applyFont="1" applyFill="1" applyAlignment="1"/>
    <xf numFmtId="0" fontId="52" fillId="30" borderId="0" xfId="52" applyFont="1" applyFill="1" applyBorder="1"/>
    <xf numFmtId="3" fontId="52" fillId="30" borderId="0" xfId="52" applyNumberFormat="1" applyFont="1" applyFill="1" applyBorder="1"/>
    <xf numFmtId="10" fontId="52" fillId="30" borderId="0" xfId="52" applyNumberFormat="1" applyFont="1" applyFill="1"/>
    <xf numFmtId="167" fontId="52" fillId="21" borderId="0" xfId="52" applyNumberFormat="1" applyFont="1" applyFill="1" applyBorder="1" applyAlignment="1" applyProtection="1">
      <alignment vertical="center"/>
      <protection locked="0"/>
    </xf>
    <xf numFmtId="14" fontId="61" fillId="30" borderId="0" xfId="52" applyNumberFormat="1" applyFont="1" applyFill="1" applyAlignment="1"/>
    <xf numFmtId="167" fontId="52" fillId="21" borderId="0" xfId="52" applyNumberFormat="1" applyFont="1" applyFill="1" applyBorder="1" applyAlignment="1">
      <alignment vertical="center"/>
    </xf>
    <xf numFmtId="0" fontId="52" fillId="30" borderId="0" xfId="52" applyNumberFormat="1" applyFont="1" applyFill="1" applyAlignment="1"/>
    <xf numFmtId="0" fontId="61" fillId="30" borderId="0" xfId="52" applyNumberFormat="1" applyFont="1" applyFill="1" applyAlignment="1">
      <alignment horizontal="right"/>
    </xf>
    <xf numFmtId="3" fontId="52" fillId="30" borderId="0" xfId="52" applyNumberFormat="1" applyFont="1" applyFill="1"/>
    <xf numFmtId="167" fontId="52" fillId="21" borderId="0" xfId="52" applyNumberFormat="1" applyFont="1" applyFill="1" applyBorder="1" applyAlignment="1" applyProtection="1">
      <alignment horizontal="right" vertical="center"/>
      <protection locked="0"/>
    </xf>
    <xf numFmtId="167" fontId="52" fillId="21" borderId="0" xfId="52" applyNumberFormat="1" applyFont="1" applyFill="1" applyBorder="1" applyAlignment="1" applyProtection="1">
      <alignment vertical="center"/>
    </xf>
    <xf numFmtId="49" fontId="52" fillId="30" borderId="0" xfId="52" applyNumberFormat="1" applyFont="1" applyFill="1" applyAlignment="1">
      <alignment horizontal="right"/>
    </xf>
    <xf numFmtId="0" fontId="52" fillId="30" borderId="0" xfId="52" applyNumberFormat="1" applyFont="1" applyFill="1"/>
    <xf numFmtId="0" fontId="89" fillId="30" borderId="0" xfId="52" applyNumberFormat="1" applyFont="1" applyFill="1" applyAlignment="1">
      <alignment horizontal="center"/>
    </xf>
    <xf numFmtId="167" fontId="52" fillId="21" borderId="0" xfId="52" applyNumberFormat="1" applyFont="1" applyFill="1" applyBorder="1" applyAlignment="1">
      <alignment horizontal="right" vertical="center"/>
    </xf>
    <xf numFmtId="0" fontId="89" fillId="30" borderId="0" xfId="31" applyFont="1" applyFill="1" applyBorder="1"/>
    <xf numFmtId="0" fontId="61" fillId="30" borderId="0" xfId="52" applyFont="1" applyFill="1" applyBorder="1"/>
    <xf numFmtId="0" fontId="61" fillId="30" borderId="0" xfId="52" applyFont="1" applyFill="1"/>
    <xf numFmtId="0" fontId="52" fillId="30" borderId="0" xfId="52" applyFont="1" applyFill="1" applyBorder="1" applyAlignment="1"/>
    <xf numFmtId="0" fontId="91" fillId="0" borderId="23" xfId="2" applyNumberFormat="1" applyFont="1" applyFill="1" applyBorder="1" applyAlignment="1" applyProtection="1">
      <alignment horizontal="left" vertical="center"/>
      <protection locked="0"/>
    </xf>
    <xf numFmtId="0" fontId="4" fillId="0" borderId="74" xfId="0" applyFont="1" applyFill="1" applyBorder="1" applyAlignment="1" applyProtection="1">
      <alignment horizontal="center" vertical="center"/>
    </xf>
    <xf numFmtId="0" fontId="34" fillId="0" borderId="36" xfId="0" applyFont="1" applyBorder="1" applyAlignment="1">
      <alignment horizontal="center" vertical="center"/>
    </xf>
    <xf numFmtId="0" fontId="91" fillId="0" borderId="15" xfId="2" applyNumberFormat="1" applyFont="1" applyFill="1" applyBorder="1" applyAlignment="1" applyProtection="1">
      <alignment horizontal="left" vertical="center"/>
      <protection locked="0"/>
    </xf>
    <xf numFmtId="0" fontId="91" fillId="0" borderId="23" xfId="2" quotePrefix="1" applyNumberFormat="1" applyFont="1" applyFill="1" applyBorder="1" applyAlignment="1" applyProtection="1">
      <alignment horizontal="left" vertical="center"/>
      <protection locked="0"/>
    </xf>
    <xf numFmtId="0" fontId="91" fillId="0" borderId="28" xfId="2" applyNumberFormat="1" applyFont="1" applyFill="1" applyBorder="1" applyAlignment="1" applyProtection="1">
      <alignment horizontal="left" vertical="center"/>
      <protection locked="0"/>
    </xf>
    <xf numFmtId="0" fontId="91" fillId="0" borderId="19" xfId="2" applyNumberFormat="1" applyFont="1" applyFill="1" applyBorder="1" applyAlignment="1" applyProtection="1">
      <alignment horizontal="left" vertical="center"/>
      <protection locked="0"/>
    </xf>
    <xf numFmtId="0" fontId="91" fillId="0" borderId="30" xfId="2" applyNumberFormat="1" applyFont="1" applyFill="1" applyBorder="1" applyAlignment="1" applyProtection="1">
      <alignment horizontal="left" vertical="center"/>
      <protection locked="0"/>
    </xf>
    <xf numFmtId="0" fontId="4" fillId="0" borderId="0" xfId="32" applyFont="1" applyAlignment="1">
      <alignment vertical="center"/>
    </xf>
    <xf numFmtId="0" fontId="5" fillId="0" borderId="0" xfId="32" applyFont="1" applyAlignment="1"/>
    <xf numFmtId="0" fontId="8" fillId="0" borderId="0" xfId="32" applyFont="1" applyFill="1"/>
    <xf numFmtId="0" fontId="12" fillId="0" borderId="0" xfId="32" applyFont="1" applyFill="1" applyBorder="1" applyAlignment="1">
      <alignment horizontal="center"/>
    </xf>
    <xf numFmtId="49" fontId="33" fillId="26" borderId="52" xfId="32" applyNumberFormat="1" applyFont="1" applyFill="1" applyBorder="1" applyAlignment="1" applyProtection="1">
      <alignment horizontal="center" vertical="center" wrapText="1"/>
    </xf>
    <xf numFmtId="0" fontId="33" fillId="26" borderId="53" xfId="32" applyFont="1" applyFill="1" applyBorder="1" applyAlignment="1" applyProtection="1">
      <alignment horizontal="left" vertical="center"/>
    </xf>
    <xf numFmtId="0" fontId="38" fillId="26" borderId="17" xfId="32" applyFont="1" applyFill="1" applyBorder="1" applyAlignment="1">
      <alignment horizontal="center" vertical="center" wrapText="1"/>
    </xf>
    <xf numFmtId="166" fontId="34" fillId="21" borderId="0" xfId="32" applyNumberFormat="1" applyFont="1" applyFill="1" applyBorder="1"/>
    <xf numFmtId="49" fontId="34" fillId="0" borderId="52" xfId="32" applyNumberFormat="1" applyFont="1" applyBorder="1" applyAlignment="1" applyProtection="1">
      <alignment horizontal="center" vertical="center" wrapText="1"/>
    </xf>
    <xf numFmtId="0" fontId="34" fillId="0" borderId="53" xfId="32" applyFont="1" applyBorder="1" applyAlignment="1"/>
    <xf numFmtId="0" fontId="38" fillId="21" borderId="5" xfId="32" applyFont="1" applyFill="1" applyBorder="1" applyAlignment="1">
      <alignment horizontal="center" vertical="center" wrapText="1"/>
    </xf>
    <xf numFmtId="0" fontId="34" fillId="0" borderId="0" xfId="32" applyFont="1" applyAlignment="1"/>
    <xf numFmtId="0" fontId="34" fillId="21" borderId="53" xfId="32" applyFont="1" applyFill="1" applyBorder="1" applyAlignment="1" applyProtection="1">
      <alignment vertical="center"/>
    </xf>
    <xf numFmtId="0" fontId="33" fillId="26" borderId="53" xfId="32" applyFont="1" applyFill="1" applyBorder="1" applyAlignment="1" applyProtection="1">
      <alignment horizontal="left" vertical="center" wrapText="1"/>
    </xf>
    <xf numFmtId="0" fontId="38" fillId="21" borderId="17" xfId="32" applyFont="1" applyFill="1" applyBorder="1" applyAlignment="1">
      <alignment horizontal="center" vertical="center" wrapText="1"/>
    </xf>
    <xf numFmtId="0" fontId="34" fillId="21" borderId="0" xfId="32" applyFont="1" applyFill="1" applyBorder="1" applyAlignment="1"/>
    <xf numFmtId="49" fontId="34" fillId="0" borderId="54" xfId="32" applyNumberFormat="1" applyFont="1" applyBorder="1" applyAlignment="1" applyProtection="1">
      <alignment horizontal="center" vertical="center" wrapText="1"/>
    </xf>
    <xf numFmtId="0" fontId="34" fillId="21" borderId="53" xfId="32" applyFont="1" applyFill="1" applyBorder="1" applyAlignment="1" applyProtection="1">
      <alignment horizontal="left" vertical="center" wrapText="1"/>
    </xf>
    <xf numFmtId="14" fontId="33" fillId="0" borderId="0" xfId="32" applyNumberFormat="1" applyFont="1" applyFill="1" applyAlignment="1"/>
    <xf numFmtId="0" fontId="34" fillId="0" borderId="0" xfId="32" applyFont="1" applyFill="1"/>
    <xf numFmtId="167" fontId="34" fillId="21" borderId="0" xfId="32" applyNumberFormat="1" applyFont="1" applyFill="1" applyBorder="1" applyAlignment="1">
      <alignment vertical="center"/>
    </xf>
    <xf numFmtId="0" fontId="34" fillId="0" borderId="0" xfId="32" applyNumberFormat="1" applyFont="1" applyFill="1" applyAlignment="1"/>
    <xf numFmtId="167" fontId="34" fillId="21" borderId="0" xfId="32" applyNumberFormat="1" applyFont="1" applyFill="1" applyBorder="1" applyAlignment="1" applyProtection="1">
      <alignment horizontal="right" vertical="center"/>
      <protection locked="0"/>
    </xf>
    <xf numFmtId="167" fontId="34" fillId="21" borderId="0" xfId="32" applyNumberFormat="1" applyFont="1" applyFill="1" applyBorder="1" applyAlignment="1" applyProtection="1">
      <alignment vertical="center"/>
    </xf>
    <xf numFmtId="0" fontId="35" fillId="0" borderId="0" xfId="32" applyNumberFormat="1" applyFont="1" applyFill="1" applyAlignment="1">
      <alignment horizontal="center"/>
    </xf>
    <xf numFmtId="167" fontId="34" fillId="21" borderId="0" xfId="32" applyNumberFormat="1" applyFont="1" applyFill="1" applyBorder="1" applyAlignment="1">
      <alignment horizontal="right" vertical="center"/>
    </xf>
    <xf numFmtId="167" fontId="34" fillId="21" borderId="0" xfId="32" applyNumberFormat="1" applyFont="1" applyFill="1" applyBorder="1" applyAlignment="1" applyProtection="1">
      <alignment horizontal="right" vertical="center"/>
    </xf>
    <xf numFmtId="0" fontId="33" fillId="0" borderId="0" xfId="32" applyFont="1"/>
    <xf numFmtId="3" fontId="33" fillId="0" borderId="0" xfId="32" applyNumberFormat="1" applyFont="1"/>
    <xf numFmtId="0" fontId="34" fillId="0" borderId="0" xfId="32" applyFont="1" applyAlignment="1">
      <alignment vertical="center"/>
    </xf>
    <xf numFmtId="0" fontId="6" fillId="30" borderId="0" xfId="32" applyFont="1" applyFill="1" applyAlignment="1">
      <alignment horizontal="center"/>
    </xf>
    <xf numFmtId="0" fontId="4" fillId="30" borderId="0" xfId="32" applyFont="1" applyFill="1" applyBorder="1" applyAlignment="1">
      <alignment horizontal="center"/>
    </xf>
    <xf numFmtId="3" fontId="13" fillId="30" borderId="0" xfId="32" applyNumberFormat="1" applyFont="1" applyFill="1" applyBorder="1" applyAlignment="1">
      <alignment horizontal="center" vertical="center"/>
    </xf>
    <xf numFmtId="0" fontId="0" fillId="29" borderId="0" xfId="0" applyFill="1" applyAlignment="1">
      <alignment horizontal="center"/>
    </xf>
    <xf numFmtId="0" fontId="34" fillId="30" borderId="0" xfId="0" applyFont="1" applyFill="1" applyAlignment="1">
      <alignment horizontal="center"/>
    </xf>
    <xf numFmtId="0" fontId="33" fillId="30" borderId="0" xfId="0" applyFont="1" applyFill="1" applyAlignment="1">
      <alignment horizontal="center"/>
    </xf>
    <xf numFmtId="0" fontId="28" fillId="30" borderId="0" xfId="0" applyNumberFormat="1" applyFont="1" applyFill="1" applyAlignment="1">
      <alignment horizontal="center"/>
    </xf>
    <xf numFmtId="49" fontId="34" fillId="30" borderId="31" xfId="49" applyNumberFormat="1" applyFont="1" applyFill="1" applyBorder="1" applyAlignment="1" applyProtection="1">
      <alignment horizontal="left" vertical="center" wrapText="1"/>
    </xf>
    <xf numFmtId="49" fontId="35" fillId="30" borderId="7" xfId="49" applyNumberFormat="1" applyFont="1" applyFill="1" applyBorder="1" applyAlignment="1" applyProtection="1">
      <alignment horizontal="left" vertical="center" wrapText="1"/>
    </xf>
    <xf numFmtId="49" fontId="35" fillId="30" borderId="63" xfId="49" applyNumberFormat="1" applyFont="1" applyFill="1" applyBorder="1" applyAlignment="1" applyProtection="1">
      <alignment horizontal="left" vertical="center" wrapText="1"/>
    </xf>
    <xf numFmtId="174" fontId="83" fillId="30" borderId="0" xfId="49" applyNumberFormat="1" applyFont="1" applyFill="1" applyAlignment="1">
      <alignment horizontal="center"/>
    </xf>
    <xf numFmtId="0" fontId="28" fillId="30" borderId="0" xfId="49" applyFont="1" applyFill="1" applyAlignment="1">
      <alignment horizontal="center"/>
    </xf>
    <xf numFmtId="0" fontId="28" fillId="30" borderId="0" xfId="49" applyFont="1" applyFill="1" applyAlignment="1" applyProtection="1">
      <alignment horizontal="center" wrapText="1"/>
    </xf>
    <xf numFmtId="0" fontId="11" fillId="30" borderId="0" xfId="49" applyFont="1" applyFill="1" applyAlignment="1" applyProtection="1">
      <alignment horizontal="center" wrapText="1"/>
    </xf>
    <xf numFmtId="0" fontId="28" fillId="21" borderId="0" xfId="49" applyFont="1" applyFill="1" applyAlignment="1">
      <alignment horizontal="center"/>
    </xf>
    <xf numFmtId="0" fontId="11" fillId="30" borderId="0" xfId="0" applyNumberFormat="1" applyFont="1" applyFill="1" applyAlignment="1">
      <alignment horizontal="center"/>
    </xf>
    <xf numFmtId="0" fontId="45" fillId="30" borderId="0" xfId="0" applyNumberFormat="1" applyFont="1" applyFill="1" applyAlignment="1">
      <alignment horizontal="center"/>
    </xf>
    <xf numFmtId="0" fontId="45" fillId="30" borderId="0" xfId="0" applyFont="1" applyFill="1" applyAlignment="1">
      <alignment horizontal="center"/>
    </xf>
    <xf numFmtId="167" fontId="11" fillId="30" borderId="0" xfId="49" applyNumberFormat="1" applyFont="1" applyFill="1" applyBorder="1" applyAlignment="1">
      <alignment horizontal="center" vertical="center"/>
    </xf>
    <xf numFmtId="0" fontId="45" fillId="30" borderId="0" xfId="0" applyFont="1" applyFill="1" applyAlignment="1">
      <alignment horizontal="center" vertical="center"/>
    </xf>
    <xf numFmtId="49" fontId="45" fillId="30" borderId="0" xfId="0" applyNumberFormat="1" applyFont="1" applyFill="1" applyAlignment="1">
      <alignment horizontal="center"/>
    </xf>
    <xf numFmtId="0" fontId="45" fillId="30" borderId="0" xfId="31" applyFont="1" applyFill="1" applyAlignment="1">
      <alignment horizontal="center"/>
    </xf>
    <xf numFmtId="49" fontId="11" fillId="30" borderId="0" xfId="0" applyNumberFormat="1" applyFont="1" applyFill="1" applyAlignment="1">
      <alignment horizontal="center"/>
    </xf>
    <xf numFmtId="174" fontId="45" fillId="30" borderId="0" xfId="49" applyNumberFormat="1" applyFont="1" applyFill="1" applyAlignment="1">
      <alignment horizontal="center"/>
    </xf>
    <xf numFmtId="174" fontId="45" fillId="30" borderId="0" xfId="49" applyNumberFormat="1" applyFont="1" applyFill="1"/>
    <xf numFmtId="174" fontId="79" fillId="30" borderId="0" xfId="49" applyNumberFormat="1" applyFont="1" applyFill="1"/>
    <xf numFmtId="0" fontId="93" fillId="30" borderId="0" xfId="49" applyFont="1" applyFill="1"/>
    <xf numFmtId="0" fontId="97" fillId="30" borderId="0" xfId="32" applyFont="1" applyFill="1"/>
    <xf numFmtId="9" fontId="96" fillId="30" borderId="27" xfId="1" applyFont="1" applyFill="1" applyBorder="1" applyAlignment="1">
      <alignment horizontal="center"/>
    </xf>
    <xf numFmtId="3" fontId="98" fillId="30" borderId="0" xfId="49" applyNumberFormat="1" applyFont="1" applyFill="1" applyAlignment="1">
      <alignment horizontal="right"/>
    </xf>
    <xf numFmtId="167" fontId="99" fillId="30" borderId="0" xfId="49" applyNumberFormat="1" applyFont="1" applyFill="1" applyAlignment="1">
      <alignment horizontal="right"/>
    </xf>
    <xf numFmtId="3" fontId="74" fillId="30" borderId="0" xfId="49" applyNumberFormat="1" applyFont="1" applyFill="1"/>
    <xf numFmtId="3" fontId="74" fillId="30" borderId="0" xfId="49" applyNumberFormat="1" applyFont="1" applyFill="1" applyAlignment="1">
      <alignment horizontal="right"/>
    </xf>
    <xf numFmtId="3" fontId="4" fillId="30" borderId="24" xfId="49" applyNumberFormat="1" applyFont="1" applyFill="1" applyBorder="1" applyAlignment="1">
      <alignment horizontal="center" vertical="center" wrapText="1"/>
    </xf>
    <xf numFmtId="3" fontId="100" fillId="30" borderId="0" xfId="32" applyNumberFormat="1" applyFont="1" applyFill="1" applyAlignment="1">
      <alignment horizontal="center"/>
    </xf>
    <xf numFmtId="0" fontId="5" fillId="30" borderId="0" xfId="32" applyFont="1" applyFill="1" applyBorder="1" applyAlignment="1">
      <alignment horizontal="center" vertical="center"/>
    </xf>
    <xf numFmtId="0" fontId="101" fillId="30" borderId="0" xfId="49" applyFont="1" applyFill="1" applyBorder="1" applyAlignment="1">
      <alignment vertical="center"/>
    </xf>
    <xf numFmtId="0" fontId="100" fillId="30" borderId="0" xfId="49" applyFont="1" applyFill="1" applyAlignment="1"/>
    <xf numFmtId="3" fontId="4" fillId="0" borderId="78" xfId="0" applyNumberFormat="1" applyFont="1" applyFill="1" applyBorder="1" applyAlignment="1" applyProtection="1">
      <alignment vertical="center"/>
    </xf>
    <xf numFmtId="3" fontId="4" fillId="0" borderId="53" xfId="0" applyNumberFormat="1" applyFont="1" applyBorder="1" applyAlignment="1" applyProtection="1">
      <alignment vertical="center"/>
    </xf>
    <xf numFmtId="3" fontId="13" fillId="0" borderId="53" xfId="0" applyNumberFormat="1" applyFont="1" applyFill="1" applyBorder="1" applyAlignment="1" applyProtection="1">
      <alignment vertical="center"/>
    </xf>
    <xf numFmtId="3" fontId="4" fillId="0" borderId="53" xfId="0" applyNumberFormat="1" applyFont="1" applyFill="1" applyBorder="1" applyAlignment="1" applyProtection="1">
      <alignment vertical="center"/>
    </xf>
    <xf numFmtId="3" fontId="4" fillId="0" borderId="57" xfId="0" applyNumberFormat="1" applyFont="1" applyFill="1" applyBorder="1" applyAlignment="1" applyProtection="1">
      <alignment vertical="center"/>
    </xf>
    <xf numFmtId="0" fontId="13" fillId="0" borderId="0" xfId="49" applyFont="1" applyFill="1" applyBorder="1" applyAlignment="1">
      <alignment horizontal="center" vertical="center"/>
    </xf>
    <xf numFmtId="0" fontId="69" fillId="0" borderId="0" xfId="31" applyFont="1" applyFill="1" applyBorder="1"/>
    <xf numFmtId="0" fontId="34" fillId="30" borderId="5" xfId="0" applyFont="1" applyFill="1" applyBorder="1" applyAlignment="1">
      <alignment vertical="center" wrapText="1"/>
    </xf>
    <xf numFmtId="0" fontId="20" fillId="0" borderId="1" xfId="0" applyFont="1" applyFill="1" applyBorder="1" applyAlignment="1"/>
    <xf numFmtId="0" fontId="4" fillId="0" borderId="2" xfId="32" applyFont="1" applyFill="1" applyBorder="1" applyAlignment="1">
      <alignment horizontal="right"/>
    </xf>
    <xf numFmtId="0" fontId="20" fillId="0" borderId="1" xfId="0" applyFont="1" applyFill="1" applyBorder="1" applyAlignment="1">
      <alignment horizontal="right"/>
    </xf>
    <xf numFmtId="3" fontId="13" fillId="0" borderId="2" xfId="32" applyNumberFormat="1" applyFont="1" applyFill="1" applyBorder="1" applyAlignment="1">
      <alignment horizontal="center"/>
    </xf>
    <xf numFmtId="0" fontId="12" fillId="30" borderId="0" xfId="49" applyFont="1" applyFill="1" applyBorder="1" applyAlignment="1">
      <alignment horizontal="center" vertical="center"/>
    </xf>
    <xf numFmtId="0" fontId="20" fillId="29" borderId="0" xfId="0" applyFont="1" applyFill="1" applyAlignment="1">
      <alignment horizontal="center"/>
    </xf>
    <xf numFmtId="0" fontId="4" fillId="30" borderId="0" xfId="0" applyFont="1" applyFill="1" applyAlignment="1">
      <alignment horizontal="center"/>
    </xf>
    <xf numFmtId="0" fontId="13" fillId="30" borderId="0" xfId="0" applyFont="1" applyFill="1" applyAlignment="1">
      <alignment horizontal="center"/>
    </xf>
    <xf numFmtId="0" fontId="8" fillId="30" borderId="0" xfId="32" applyFont="1" applyFill="1" applyAlignment="1">
      <alignment horizontal="center"/>
    </xf>
    <xf numFmtId="0" fontId="20" fillId="30" borderId="0" xfId="32" applyFont="1" applyFill="1" applyAlignment="1">
      <alignment horizontal="center"/>
    </xf>
    <xf numFmtId="0" fontId="4" fillId="30" borderId="0" xfId="32" applyFont="1" applyFill="1" applyBorder="1" applyAlignment="1">
      <alignment horizontal="center" wrapText="1"/>
    </xf>
    <xf numFmtId="0" fontId="4" fillId="30" borderId="0" xfId="32" applyFont="1" applyFill="1" applyAlignment="1">
      <alignment horizontal="center" wrapText="1"/>
    </xf>
    <xf numFmtId="0" fontId="102" fillId="30" borderId="0" xfId="49" applyFont="1" applyFill="1"/>
    <xf numFmtId="0" fontId="46" fillId="29" borderId="0" xfId="0" applyFont="1" applyFill="1" applyBorder="1" applyAlignment="1">
      <alignment horizontal="center" vertical="center"/>
    </xf>
    <xf numFmtId="0" fontId="45" fillId="29" borderId="0" xfId="0" applyFont="1" applyFill="1" applyAlignment="1">
      <alignment horizontal="center" vertical="center"/>
    </xf>
    <xf numFmtId="3" fontId="45" fillId="29" borderId="0" xfId="0" applyNumberFormat="1" applyFont="1" applyFill="1" applyAlignment="1">
      <alignment horizontal="center" vertical="center"/>
    </xf>
    <xf numFmtId="49" fontId="33" fillId="0" borderId="0" xfId="32" applyNumberFormat="1" applyFont="1" applyFill="1" applyBorder="1" applyAlignment="1" applyProtection="1">
      <alignment horizontal="center" vertical="center" wrapText="1"/>
    </xf>
    <xf numFmtId="0" fontId="33" fillId="0" borderId="0" xfId="32" applyFont="1" applyFill="1" applyBorder="1" applyAlignment="1" applyProtection="1">
      <alignment horizontal="left" vertical="center"/>
    </xf>
    <xf numFmtId="0" fontId="38" fillId="0" borderId="0" xfId="32" applyFont="1" applyFill="1" applyBorder="1" applyAlignment="1">
      <alignment horizontal="center" vertical="center" wrapText="1"/>
    </xf>
    <xf numFmtId="166" fontId="34" fillId="0" borderId="0" xfId="32" applyNumberFormat="1" applyFont="1" applyFill="1" applyBorder="1"/>
    <xf numFmtId="0" fontId="5" fillId="0" borderId="0" xfId="32" applyFont="1" applyAlignment="1">
      <alignment horizontal="center"/>
    </xf>
    <xf numFmtId="3" fontId="34" fillId="3" borderId="24" xfId="32" applyNumberFormat="1" applyFont="1" applyFill="1" applyBorder="1" applyAlignment="1" applyProtection="1">
      <alignment horizontal="center" vertical="center"/>
      <protection locked="0"/>
    </xf>
    <xf numFmtId="3" fontId="34" fillId="3" borderId="17" xfId="32" applyNumberFormat="1" applyFont="1" applyFill="1" applyBorder="1" applyAlignment="1" applyProtection="1">
      <alignment horizontal="center" vertical="center"/>
      <protection locked="0"/>
    </xf>
    <xf numFmtId="3" fontId="34" fillId="3" borderId="23" xfId="32" applyNumberFormat="1" applyFont="1" applyFill="1" applyBorder="1" applyAlignment="1" applyProtection="1">
      <alignment horizontal="center" vertical="center"/>
      <protection locked="0"/>
    </xf>
    <xf numFmtId="175" fontId="33" fillId="0" borderId="0" xfId="32" applyNumberFormat="1" applyFont="1" applyFill="1" applyBorder="1" applyAlignment="1">
      <alignment horizontal="center"/>
    </xf>
    <xf numFmtId="0" fontId="34" fillId="0" borderId="0" xfId="32" applyFont="1" applyFill="1" applyAlignment="1">
      <alignment horizontal="center"/>
    </xf>
    <xf numFmtId="0" fontId="34" fillId="0" borderId="0" xfId="32" applyFont="1" applyAlignment="1">
      <alignment horizontal="center"/>
    </xf>
    <xf numFmtId="0" fontId="34" fillId="0" borderId="0" xfId="32" applyNumberFormat="1" applyFont="1" applyFill="1" applyAlignment="1">
      <alignment horizontal="center"/>
    </xf>
    <xf numFmtId="0" fontId="33" fillId="0" borderId="0" xfId="32" applyNumberFormat="1" applyFont="1" applyFill="1" applyAlignment="1">
      <alignment horizontal="center"/>
    </xf>
    <xf numFmtId="3" fontId="34" fillId="0" borderId="0" xfId="32" applyNumberFormat="1" applyFont="1" applyAlignment="1">
      <alignment horizontal="center"/>
    </xf>
    <xf numFmtId="167" fontId="34" fillId="21" borderId="0" xfId="32" applyNumberFormat="1" applyFont="1" applyFill="1" applyBorder="1" applyAlignment="1" applyProtection="1">
      <alignment horizontal="center" vertical="center"/>
      <protection locked="0"/>
    </xf>
    <xf numFmtId="49" fontId="34" fillId="0" borderId="0" xfId="32" applyNumberFormat="1" applyFont="1" applyFill="1" applyAlignment="1">
      <alignment horizontal="center"/>
    </xf>
    <xf numFmtId="167" fontId="34" fillId="21" borderId="0" xfId="32" applyNumberFormat="1" applyFont="1" applyFill="1" applyBorder="1" applyAlignment="1">
      <alignment horizontal="center" vertical="center"/>
    </xf>
    <xf numFmtId="49" fontId="33" fillId="0" borderId="0" xfId="32" applyNumberFormat="1" applyFont="1" applyFill="1" applyAlignment="1">
      <alignment horizontal="center"/>
    </xf>
    <xf numFmtId="167" fontId="34" fillId="21" borderId="0" xfId="32" applyNumberFormat="1" applyFont="1" applyFill="1" applyBorder="1" applyAlignment="1" applyProtection="1">
      <alignment horizontal="center" vertical="center"/>
    </xf>
    <xf numFmtId="0" fontId="35" fillId="0" borderId="0" xfId="31" applyFont="1" applyFill="1" applyBorder="1" applyAlignment="1">
      <alignment horizontal="center"/>
    </xf>
    <xf numFmtId="0" fontId="33" fillId="0" borderId="0" xfId="32" applyFont="1" applyBorder="1" applyAlignment="1">
      <alignment horizontal="center"/>
    </xf>
    <xf numFmtId="0" fontId="4" fillId="0" borderId="0" xfId="32" applyFont="1" applyAlignment="1">
      <alignment horizontal="center"/>
    </xf>
    <xf numFmtId="0" fontId="105" fillId="30" borderId="91" xfId="49" applyFont="1" applyFill="1" applyBorder="1"/>
    <xf numFmtId="0" fontId="102" fillId="30" borderId="91" xfId="49" applyFont="1" applyFill="1" applyBorder="1"/>
    <xf numFmtId="0" fontId="105" fillId="30" borderId="91" xfId="49" applyFont="1" applyFill="1" applyBorder="1" applyAlignment="1">
      <alignment vertical="center"/>
    </xf>
    <xf numFmtId="0" fontId="104" fillId="30" borderId="91" xfId="49" applyFont="1" applyFill="1" applyBorder="1"/>
    <xf numFmtId="0" fontId="105" fillId="30" borderId="92" xfId="49" applyFont="1" applyFill="1" applyBorder="1"/>
    <xf numFmtId="3" fontId="13" fillId="34" borderId="1" xfId="49" applyNumberFormat="1" applyFont="1" applyFill="1" applyBorder="1" applyAlignment="1">
      <alignment horizontal="center" wrapText="1"/>
    </xf>
    <xf numFmtId="3" fontId="13" fillId="30" borderId="24" xfId="49" applyNumberFormat="1" applyFont="1" applyFill="1" applyBorder="1" applyAlignment="1">
      <alignment horizontal="center" vertical="center"/>
    </xf>
    <xf numFmtId="3" fontId="4" fillId="36" borderId="24" xfId="49" applyNumberFormat="1" applyFont="1" applyFill="1" applyBorder="1" applyAlignment="1">
      <alignment horizontal="center" vertical="center"/>
    </xf>
    <xf numFmtId="0" fontId="29" fillId="30" borderId="0" xfId="49" applyFont="1" applyFill="1" applyAlignment="1">
      <alignment horizontal="right"/>
    </xf>
    <xf numFmtId="0" fontId="13" fillId="30" borderId="0" xfId="0" applyNumberFormat="1" applyFont="1" applyFill="1" applyAlignment="1">
      <alignment horizontal="center"/>
    </xf>
    <xf numFmtId="0" fontId="29" fillId="30" borderId="0" xfId="0" applyNumberFormat="1" applyFont="1" applyFill="1" applyAlignment="1">
      <alignment horizontal="right"/>
    </xf>
    <xf numFmtId="3" fontId="13" fillId="30" borderId="29" xfId="49" applyNumberFormat="1" applyFont="1" applyFill="1" applyBorder="1" applyAlignment="1">
      <alignment horizontal="center" vertical="center" wrapText="1"/>
    </xf>
    <xf numFmtId="3" fontId="13" fillId="30" borderId="24" xfId="49" applyNumberFormat="1" applyFont="1" applyFill="1" applyBorder="1" applyAlignment="1">
      <alignment horizontal="center" vertical="center" wrapText="1"/>
    </xf>
    <xf numFmtId="3" fontId="13" fillId="30" borderId="30" xfId="49" applyNumberFormat="1" applyFont="1" applyFill="1" applyBorder="1" applyAlignment="1">
      <alignment horizontal="center" vertical="center" wrapText="1"/>
    </xf>
    <xf numFmtId="167" fontId="13" fillId="36" borderId="24" xfId="49" applyNumberFormat="1" applyFont="1" applyFill="1" applyBorder="1" applyAlignment="1">
      <alignment horizontal="center" vertical="center"/>
    </xf>
    <xf numFmtId="3" fontId="13" fillId="36" borderId="24" xfId="49" applyNumberFormat="1" applyFont="1" applyFill="1" applyBorder="1" applyAlignment="1">
      <alignment horizontal="center" vertical="center"/>
    </xf>
    <xf numFmtId="3" fontId="13" fillId="36" borderId="7" xfId="49" applyNumberFormat="1" applyFont="1" applyFill="1" applyBorder="1" applyAlignment="1">
      <alignment horizontal="center" vertical="center"/>
    </xf>
    <xf numFmtId="3" fontId="13" fillId="36" borderId="53" xfId="49" applyNumberFormat="1" applyFont="1" applyFill="1" applyBorder="1" applyAlignment="1">
      <alignment horizontal="center" vertical="center"/>
    </xf>
    <xf numFmtId="3" fontId="13" fillId="36" borderId="17" xfId="49" applyNumberFormat="1" applyFont="1" applyFill="1" applyBorder="1" applyAlignment="1">
      <alignment horizontal="center" vertical="center"/>
    </xf>
    <xf numFmtId="3" fontId="13" fillId="36" borderId="52" xfId="49" applyNumberFormat="1" applyFont="1" applyFill="1" applyBorder="1" applyAlignment="1">
      <alignment horizontal="center" vertical="center"/>
    </xf>
    <xf numFmtId="3" fontId="13" fillId="36" borderId="32" xfId="49" applyNumberFormat="1" applyFont="1" applyFill="1" applyBorder="1" applyAlignment="1">
      <alignment horizontal="center" vertical="center"/>
    </xf>
    <xf numFmtId="3" fontId="4" fillId="0" borderId="52" xfId="49" applyNumberFormat="1" applyFont="1" applyFill="1" applyBorder="1" applyAlignment="1">
      <alignment horizontal="center" vertical="center" wrapText="1"/>
    </xf>
    <xf numFmtId="3" fontId="4" fillId="0" borderId="7" xfId="49" applyNumberFormat="1" applyFont="1" applyFill="1" applyBorder="1" applyAlignment="1">
      <alignment horizontal="center" vertical="center" wrapText="1"/>
    </xf>
    <xf numFmtId="3" fontId="4" fillId="0" borderId="53" xfId="49" applyNumberFormat="1" applyFont="1" applyFill="1" applyBorder="1" applyAlignment="1">
      <alignment horizontal="center" vertical="center" wrapText="1"/>
    </xf>
    <xf numFmtId="0" fontId="13" fillId="30" borderId="25" xfId="49" applyFont="1" applyFill="1" applyBorder="1" applyAlignment="1">
      <alignment horizontal="center" vertical="center" wrapText="1"/>
    </xf>
    <xf numFmtId="3" fontId="13" fillId="30" borderId="51" xfId="49" applyNumberFormat="1" applyFont="1" applyFill="1" applyBorder="1" applyAlignment="1">
      <alignment horizontal="center" vertical="center" wrapText="1"/>
    </xf>
    <xf numFmtId="0" fontId="46" fillId="30" borderId="0" xfId="0" applyFont="1" applyFill="1" applyBorder="1" applyAlignment="1">
      <alignment vertical="center"/>
    </xf>
    <xf numFmtId="0" fontId="33" fillId="30" borderId="0" xfId="32" applyFont="1" applyFill="1" applyBorder="1" applyAlignment="1">
      <alignment horizontal="center" vertical="center" wrapText="1"/>
    </xf>
    <xf numFmtId="3" fontId="49" fillId="30" borderId="0" xfId="32" applyNumberFormat="1" applyFont="1" applyFill="1" applyBorder="1" applyAlignment="1">
      <alignment horizontal="center" vertical="center"/>
    </xf>
    <xf numFmtId="3" fontId="4" fillId="30" borderId="0" xfId="32" applyNumberFormat="1" applyFont="1" applyFill="1" applyBorder="1" applyAlignment="1">
      <alignment horizontal="center" vertical="center"/>
    </xf>
    <xf numFmtId="0" fontId="34" fillId="30" borderId="0" xfId="0" applyFont="1" applyFill="1" applyBorder="1"/>
    <xf numFmtId="0" fontId="35" fillId="30" borderId="0" xfId="0" applyNumberFormat="1" applyFont="1" applyFill="1" applyBorder="1" applyAlignment="1">
      <alignment horizontal="center"/>
    </xf>
    <xf numFmtId="49" fontId="34" fillId="30" borderId="0" xfId="0" applyNumberFormat="1" applyFont="1" applyFill="1" applyBorder="1" applyAlignment="1">
      <alignment horizontal="right"/>
    </xf>
    <xf numFmtId="0" fontId="45" fillId="30" borderId="0" xfId="0" applyFont="1" applyFill="1" applyBorder="1" applyAlignment="1" applyProtection="1">
      <alignment horizontal="left" vertical="center" wrapText="1"/>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3" fontId="4" fillId="0" borderId="56" xfId="49" applyNumberFormat="1" applyFont="1" applyFill="1" applyBorder="1" applyAlignment="1">
      <alignment horizontal="center" vertical="center" wrapText="1"/>
    </xf>
    <xf numFmtId="3" fontId="4" fillId="0" borderId="77" xfId="49" applyNumberFormat="1" applyFont="1" applyFill="1" applyBorder="1" applyAlignment="1">
      <alignment horizontal="center" vertical="center" wrapText="1"/>
    </xf>
    <xf numFmtId="3" fontId="4" fillId="0" borderId="57" xfId="49" applyNumberFormat="1" applyFont="1" applyFill="1" applyBorder="1" applyAlignment="1">
      <alignment horizontal="center" vertical="center" wrapText="1"/>
    </xf>
    <xf numFmtId="9" fontId="13" fillId="0" borderId="2" xfId="32" applyNumberFormat="1" applyFont="1" applyFill="1" applyBorder="1" applyAlignment="1">
      <alignment horizontal="center"/>
    </xf>
    <xf numFmtId="3" fontId="4" fillId="0" borderId="24" xfId="49" applyNumberFormat="1" applyFont="1" applyFill="1" applyBorder="1" applyAlignment="1">
      <alignment horizontal="center" vertical="center" wrapText="1"/>
    </xf>
    <xf numFmtId="9" fontId="36" fillId="30" borderId="17" xfId="49" applyNumberFormat="1" applyFont="1" applyFill="1" applyBorder="1" applyAlignment="1">
      <alignment horizontal="center" vertical="center"/>
    </xf>
    <xf numFmtId="0" fontId="4" fillId="30" borderId="5" xfId="49" applyFont="1" applyFill="1" applyBorder="1" applyAlignment="1">
      <alignment wrapText="1"/>
    </xf>
    <xf numFmtId="0" fontId="34" fillId="0" borderId="17" xfId="49" applyFont="1" applyFill="1" applyBorder="1" applyAlignment="1">
      <alignment horizontal="center" vertical="center"/>
    </xf>
    <xf numFmtId="0" fontId="67" fillId="0" borderId="0" xfId="0" applyFont="1"/>
    <xf numFmtId="0" fontId="67" fillId="0" borderId="15" xfId="0" applyFont="1" applyBorder="1"/>
    <xf numFmtId="0" fontId="12" fillId="30" borderId="0" xfId="49" applyFont="1" applyFill="1" applyBorder="1" applyAlignment="1">
      <alignment horizontal="center"/>
    </xf>
    <xf numFmtId="0" fontId="95" fillId="30" borderId="0" xfId="49" applyFont="1" applyFill="1" applyBorder="1" applyAlignment="1">
      <alignment horizontal="center"/>
    </xf>
    <xf numFmtId="0" fontId="58" fillId="30" borderId="0" xfId="49" applyFont="1" applyFill="1" applyBorder="1" applyAlignment="1" applyProtection="1">
      <alignment horizontal="right" wrapText="1"/>
    </xf>
    <xf numFmtId="9" fontId="58" fillId="30" borderId="0" xfId="49" applyNumberFormat="1" applyFont="1" applyFill="1" applyBorder="1" applyAlignment="1" applyProtection="1">
      <alignment horizontal="center" wrapText="1"/>
    </xf>
    <xf numFmtId="10" fontId="58" fillId="30" borderId="0" xfId="49" applyNumberFormat="1" applyFont="1" applyFill="1" applyBorder="1" applyAlignment="1" applyProtection="1">
      <alignment horizontal="center" wrapText="1"/>
    </xf>
    <xf numFmtId="3" fontId="4" fillId="0" borderId="0" xfId="32" applyNumberFormat="1" applyFont="1" applyFill="1" applyBorder="1" applyAlignment="1" applyProtection="1">
      <alignment horizontal="center" vertical="center"/>
      <protection locked="0"/>
    </xf>
    <xf numFmtId="0" fontId="36" fillId="0" borderId="20" xfId="31" applyFont="1" applyBorder="1" applyAlignment="1">
      <alignment horizontal="right"/>
    </xf>
    <xf numFmtId="3" fontId="30" fillId="30" borderId="0" xfId="49" applyNumberFormat="1" applyFont="1" applyFill="1"/>
    <xf numFmtId="0" fontId="103" fillId="30" borderId="91" xfId="49" applyFont="1" applyFill="1" applyBorder="1"/>
    <xf numFmtId="0" fontId="110" fillId="30" borderId="0" xfId="49" applyFont="1" applyFill="1"/>
    <xf numFmtId="0" fontId="4" fillId="34" borderId="29" xfId="32" applyFont="1" applyFill="1" applyBorder="1"/>
    <xf numFmtId="0" fontId="36" fillId="34" borderId="51" xfId="32" applyFont="1" applyFill="1" applyBorder="1" applyAlignment="1">
      <alignment horizontal="left" vertical="center" wrapText="1"/>
    </xf>
    <xf numFmtId="9" fontId="4" fillId="34" borderId="75" xfId="1" applyFont="1" applyFill="1" applyBorder="1" applyAlignment="1">
      <alignment horizontal="center"/>
    </xf>
    <xf numFmtId="9" fontId="4" fillId="34" borderId="73" xfId="1" applyFont="1" applyFill="1" applyBorder="1" applyAlignment="1">
      <alignment horizontal="center"/>
    </xf>
    <xf numFmtId="9" fontId="4" fillId="34" borderId="74" xfId="1" applyFont="1" applyFill="1" applyBorder="1" applyAlignment="1">
      <alignment horizontal="center"/>
    </xf>
    <xf numFmtId="0" fontId="4" fillId="34" borderId="36" xfId="32" applyFont="1" applyFill="1" applyBorder="1"/>
    <xf numFmtId="0" fontId="36" fillId="34" borderId="39" xfId="32" applyFont="1" applyFill="1" applyBorder="1" applyAlignment="1">
      <alignment horizontal="left" vertical="center" wrapText="1"/>
    </xf>
    <xf numFmtId="9" fontId="4" fillId="34" borderId="52" xfId="1" applyFont="1" applyFill="1" applyBorder="1" applyAlignment="1">
      <alignment horizontal="center"/>
    </xf>
    <xf numFmtId="9" fontId="4" fillId="34" borderId="7" xfId="1" applyFont="1" applyFill="1" applyBorder="1" applyAlignment="1">
      <alignment horizontal="center"/>
    </xf>
    <xf numFmtId="9" fontId="4" fillId="34" borderId="53" xfId="1" applyFont="1" applyFill="1" applyBorder="1" applyAlignment="1">
      <alignment horizontal="center"/>
    </xf>
    <xf numFmtId="0" fontId="4" fillId="34" borderId="30" xfId="32" applyFont="1" applyFill="1" applyBorder="1"/>
    <xf numFmtId="0" fontId="36" fillId="34" borderId="21" xfId="32" applyFont="1" applyFill="1" applyBorder="1" applyAlignment="1">
      <alignment horizontal="left" vertical="center" wrapText="1"/>
    </xf>
    <xf numFmtId="9" fontId="4" fillId="34" borderId="56" xfId="1" applyFont="1" applyFill="1" applyBorder="1" applyAlignment="1">
      <alignment horizontal="center"/>
    </xf>
    <xf numFmtId="9" fontId="4" fillId="34" borderId="77" xfId="1" applyFont="1" applyFill="1" applyBorder="1" applyAlignment="1">
      <alignment horizontal="center"/>
    </xf>
    <xf numFmtId="9" fontId="4" fillId="34" borderId="57" xfId="1" applyFont="1" applyFill="1" applyBorder="1" applyAlignment="1">
      <alignment horizontal="center"/>
    </xf>
    <xf numFmtId="9" fontId="13" fillId="34" borderId="38" xfId="1" applyFont="1" applyFill="1" applyBorder="1" applyAlignment="1">
      <alignment horizontal="center" vertical="center"/>
    </xf>
    <xf numFmtId="9" fontId="13" fillId="34" borderId="9" xfId="1" applyFont="1" applyFill="1" applyBorder="1" applyAlignment="1">
      <alignment horizontal="center" vertical="center"/>
    </xf>
    <xf numFmtId="9" fontId="13" fillId="34" borderId="10" xfId="1" applyFont="1" applyFill="1" applyBorder="1" applyAlignment="1">
      <alignment horizontal="center" vertical="center"/>
    </xf>
    <xf numFmtId="3" fontId="65" fillId="0" borderId="0" xfId="49" applyNumberFormat="1" applyFont="1" applyFill="1"/>
    <xf numFmtId="3" fontId="74" fillId="0" borderId="0" xfId="49" applyNumberFormat="1" applyFont="1" applyFill="1"/>
    <xf numFmtId="3" fontId="98" fillId="0" borderId="0" xfId="49" applyNumberFormat="1" applyFont="1" applyFill="1" applyAlignment="1">
      <alignment horizontal="right"/>
    </xf>
    <xf numFmtId="167" fontId="99" fillId="0" borderId="0" xfId="49" applyNumberFormat="1" applyFont="1" applyFill="1" applyAlignment="1">
      <alignment horizontal="right"/>
    </xf>
    <xf numFmtId="3" fontId="74" fillId="0" borderId="0" xfId="49" applyNumberFormat="1" applyFont="1" applyFill="1" applyAlignment="1">
      <alignment horizontal="right"/>
    </xf>
    <xf numFmtId="3" fontId="20" fillId="0" borderId="0" xfId="49" applyNumberFormat="1" applyFont="1" applyFill="1"/>
    <xf numFmtId="3" fontId="4" fillId="0" borderId="75" xfId="49" applyNumberFormat="1" applyFont="1" applyFill="1" applyBorder="1" applyAlignment="1">
      <alignment horizontal="center" vertical="center" wrapText="1"/>
    </xf>
    <xf numFmtId="3" fontId="4" fillId="0" borderId="73" xfId="49" applyNumberFormat="1" applyFont="1" applyFill="1" applyBorder="1" applyAlignment="1">
      <alignment horizontal="center" vertical="center" wrapText="1"/>
    </xf>
    <xf numFmtId="3" fontId="4" fillId="0" borderId="76" xfId="49" applyNumberFormat="1" applyFont="1" applyFill="1" applyBorder="1" applyAlignment="1">
      <alignment horizontal="center" vertical="center" wrapText="1"/>
    </xf>
    <xf numFmtId="0" fontId="58" fillId="30" borderId="0" xfId="49" applyFont="1" applyFill="1" applyBorder="1" applyAlignment="1">
      <alignment horizontal="center"/>
    </xf>
    <xf numFmtId="0" fontId="58" fillId="30" borderId="0" xfId="49" applyFont="1" applyFill="1"/>
    <xf numFmtId="3" fontId="33" fillId="34" borderId="2" xfId="49" applyNumberFormat="1" applyFont="1" applyFill="1" applyBorder="1" applyAlignment="1">
      <alignment horizontal="center" wrapText="1"/>
    </xf>
    <xf numFmtId="0" fontId="4" fillId="30" borderId="0" xfId="49" applyFont="1" applyFill="1" applyAlignment="1">
      <alignment horizontal="center"/>
    </xf>
    <xf numFmtId="0" fontId="4" fillId="30" borderId="0" xfId="0" applyNumberFormat="1" applyFont="1" applyFill="1" applyAlignment="1">
      <alignment horizontal="center"/>
    </xf>
    <xf numFmtId="0" fontId="4" fillId="30" borderId="0" xfId="31" applyFont="1" applyFill="1" applyAlignment="1">
      <alignment horizontal="center"/>
    </xf>
    <xf numFmtId="167" fontId="13" fillId="34" borderId="2" xfId="49" applyNumberFormat="1" applyFont="1" applyFill="1" applyBorder="1" applyAlignment="1">
      <alignment horizontal="center" wrapText="1"/>
    </xf>
    <xf numFmtId="167" fontId="13" fillId="34" borderId="65" xfId="49" applyNumberFormat="1" applyFont="1" applyFill="1" applyBorder="1" applyAlignment="1">
      <alignment horizontal="center" wrapText="1"/>
    </xf>
    <xf numFmtId="167" fontId="13" fillId="34" borderId="9" xfId="49" applyNumberFormat="1" applyFont="1" applyFill="1" applyBorder="1" applyAlignment="1">
      <alignment horizontal="center" wrapText="1"/>
    </xf>
    <xf numFmtId="167" fontId="13" fillId="34" borderId="60" xfId="49" applyNumberFormat="1" applyFont="1" applyFill="1" applyBorder="1" applyAlignment="1">
      <alignment horizontal="center" wrapText="1"/>
    </xf>
    <xf numFmtId="167" fontId="13" fillId="34" borderId="10" xfId="49" applyNumberFormat="1" applyFont="1" applyFill="1" applyBorder="1" applyAlignment="1">
      <alignment horizontal="center" wrapText="1"/>
    </xf>
    <xf numFmtId="0" fontId="34" fillId="0" borderId="17" xfId="49" applyFont="1" applyFill="1" applyBorder="1" applyAlignment="1">
      <alignment vertical="center" wrapText="1"/>
    </xf>
    <xf numFmtId="0" fontId="36" fillId="30" borderId="0" xfId="49" applyFont="1" applyFill="1" applyAlignment="1">
      <alignment horizontal="left"/>
    </xf>
    <xf numFmtId="0" fontId="33" fillId="30" borderId="0" xfId="0" applyFont="1" applyFill="1" applyAlignment="1">
      <alignment horizontal="left" indent="1"/>
    </xf>
    <xf numFmtId="0" fontId="35" fillId="30" borderId="0" xfId="0" applyFont="1" applyFill="1" applyAlignment="1">
      <alignment horizontal="left" indent="1"/>
    </xf>
    <xf numFmtId="0" fontId="12" fillId="30" borderId="0" xfId="32" applyFont="1" applyFill="1" applyAlignment="1">
      <alignment horizontal="center"/>
    </xf>
    <xf numFmtId="0" fontId="5" fillId="30" borderId="0" xfId="32" applyFont="1" applyFill="1" applyBorder="1" applyAlignment="1">
      <alignment horizontal="center" vertical="center"/>
    </xf>
    <xf numFmtId="0" fontId="95" fillId="30" borderId="0" xfId="49" applyFont="1" applyFill="1" applyBorder="1" applyAlignment="1">
      <alignment horizontal="center"/>
    </xf>
    <xf numFmtId="0" fontId="13" fillId="30" borderId="0" xfId="0" applyFont="1" applyFill="1" applyAlignment="1">
      <alignment horizontal="left" indent="1"/>
    </xf>
    <xf numFmtId="0" fontId="36" fillId="30" borderId="0" xfId="0" applyFont="1" applyFill="1" applyAlignment="1">
      <alignment horizontal="left" indent="1"/>
    </xf>
    <xf numFmtId="0" fontId="111" fillId="0" borderId="17" xfId="2" applyFont="1" applyBorder="1" applyAlignment="1" applyProtection="1">
      <alignment horizontal="center"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9" xfId="0" applyFont="1" applyFill="1" applyBorder="1" applyAlignment="1">
      <alignment vertical="center"/>
    </xf>
    <xf numFmtId="0" fontId="4" fillId="0" borderId="17" xfId="0" applyNumberFormat="1" applyFont="1" applyBorder="1" applyAlignment="1">
      <alignment horizontal="center"/>
    </xf>
    <xf numFmtId="0" fontId="4" fillId="0" borderId="21" xfId="0" applyNumberFormat="1" applyFont="1" applyBorder="1" applyAlignment="1">
      <alignment horizontal="center"/>
    </xf>
    <xf numFmtId="0" fontId="111" fillId="0" borderId="21" xfId="2" applyFont="1" applyBorder="1" applyAlignment="1" applyProtection="1">
      <alignment horizontal="center" vertical="center"/>
    </xf>
    <xf numFmtId="0" fontId="4" fillId="0" borderId="0" xfId="0" applyFont="1" applyFill="1" applyAlignment="1">
      <alignment vertical="center"/>
    </xf>
    <xf numFmtId="0" fontId="8" fillId="0" borderId="0" xfId="0" applyFont="1" applyAlignment="1">
      <alignment vertical="center"/>
    </xf>
    <xf numFmtId="0" fontId="11" fillId="0" borderId="0" xfId="0" applyFont="1" applyFill="1" applyAlignment="1">
      <alignment vertical="center"/>
    </xf>
    <xf numFmtId="14" fontId="61" fillId="0" borderId="0" xfId="0" applyNumberFormat="1" applyFont="1" applyAlignment="1">
      <alignment vertical="center"/>
    </xf>
    <xf numFmtId="0" fontId="13" fillId="30" borderId="0" xfId="0" applyFont="1" applyFill="1" applyAlignment="1">
      <alignment vertical="center"/>
    </xf>
    <xf numFmtId="0" fontId="67" fillId="30" borderId="0" xfId="32" applyFont="1" applyFill="1" applyAlignment="1">
      <alignment vertical="center"/>
    </xf>
    <xf numFmtId="0" fontId="36" fillId="30" borderId="0" xfId="0" applyFont="1" applyFill="1" applyAlignment="1">
      <alignment vertical="center"/>
    </xf>
    <xf numFmtId="0" fontId="41" fillId="30" borderId="0" xfId="0" applyFont="1" applyFill="1" applyAlignment="1">
      <alignment vertical="center"/>
    </xf>
    <xf numFmtId="0" fontId="33" fillId="30" borderId="0" xfId="0" applyFont="1" applyFill="1" applyAlignment="1">
      <alignment vertical="center"/>
    </xf>
    <xf numFmtId="0" fontId="34" fillId="30" borderId="0" xfId="0" applyFont="1" applyFill="1" applyAlignment="1">
      <alignment vertical="center"/>
    </xf>
    <xf numFmtId="0" fontId="12" fillId="0" borderId="0" xfId="0" applyFont="1" applyFill="1" applyAlignment="1">
      <alignment horizontal="center" vertical="center" wrapText="1"/>
    </xf>
    <xf numFmtId="0" fontId="4" fillId="3" borderId="7" xfId="0" applyFont="1" applyFill="1" applyBorder="1" applyAlignment="1" applyProtection="1">
      <alignment horizontal="center" vertical="center" wrapText="1"/>
      <protection locked="0"/>
    </xf>
    <xf numFmtId="3" fontId="13" fillId="0" borderId="7" xfId="0" applyNumberFormat="1" applyFont="1" applyFill="1" applyBorder="1" applyAlignment="1">
      <alignment horizontal="center" vertical="center"/>
    </xf>
    <xf numFmtId="0" fontId="4" fillId="0" borderId="5"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3" borderId="73"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3" fontId="13" fillId="0" borderId="73" xfId="0" applyNumberFormat="1" applyFont="1" applyFill="1" applyBorder="1" applyAlignment="1">
      <alignment horizontal="center" vertical="center"/>
    </xf>
    <xf numFmtId="3" fontId="13" fillId="0" borderId="76" xfId="0" applyNumberFormat="1" applyFont="1" applyFill="1" applyBorder="1" applyAlignment="1">
      <alignment horizontal="center" vertical="center"/>
    </xf>
    <xf numFmtId="3" fontId="13" fillId="0" borderId="53" xfId="0" applyNumberFormat="1" applyFont="1" applyFill="1" applyBorder="1" applyAlignment="1">
      <alignment horizontal="center" vertical="center"/>
    </xf>
    <xf numFmtId="0" fontId="4" fillId="0" borderId="51" xfId="2" applyFont="1" applyBorder="1" applyAlignment="1" applyProtection="1">
      <alignment horizontal="center" vertical="center"/>
    </xf>
    <xf numFmtId="0" fontId="4" fillId="0" borderId="76" xfId="0" applyFont="1" applyBorder="1" applyAlignment="1">
      <alignment vertical="center" wrapText="1"/>
    </xf>
    <xf numFmtId="0" fontId="4" fillId="0" borderId="53" xfId="0" applyFont="1" applyBorder="1" applyAlignment="1">
      <alignment vertical="center" wrapText="1"/>
    </xf>
    <xf numFmtId="0" fontId="4" fillId="0" borderId="57" xfId="0" applyFont="1" applyBorder="1" applyAlignment="1">
      <alignment vertical="center" wrapText="1"/>
    </xf>
    <xf numFmtId="0" fontId="4" fillId="0" borderId="76" xfId="0" applyFont="1" applyFill="1" applyBorder="1" applyAlignment="1">
      <alignment vertical="center" wrapText="1"/>
    </xf>
    <xf numFmtId="0" fontId="4" fillId="0" borderId="53" xfId="0" applyFont="1" applyFill="1" applyBorder="1" applyAlignment="1">
      <alignment vertical="center" wrapText="1"/>
    </xf>
    <xf numFmtId="0" fontId="4" fillId="0" borderId="57" xfId="0" applyFont="1" applyFill="1" applyBorder="1" applyAlignment="1">
      <alignment vertical="center" wrapText="1"/>
    </xf>
    <xf numFmtId="0" fontId="4" fillId="0" borderId="53" xfId="0" applyFont="1" applyBorder="1" applyAlignment="1">
      <alignment horizontal="justify" vertical="center"/>
    </xf>
    <xf numFmtId="0" fontId="64" fillId="0" borderId="76" xfId="0" applyFont="1" applyFill="1" applyBorder="1" applyAlignment="1">
      <alignment vertical="center" wrapText="1"/>
    </xf>
    <xf numFmtId="0" fontId="64" fillId="0" borderId="53" xfId="0" applyFont="1" applyFill="1" applyBorder="1" applyAlignment="1">
      <alignment vertical="center" wrapText="1"/>
    </xf>
    <xf numFmtId="0" fontId="4" fillId="0" borderId="57" xfId="0" applyFont="1" applyBorder="1" applyAlignment="1">
      <alignment vertical="center"/>
    </xf>
    <xf numFmtId="0" fontId="64" fillId="0" borderId="76" xfId="0" applyFont="1" applyBorder="1" applyAlignment="1">
      <alignment vertical="center" wrapText="1"/>
    </xf>
    <xf numFmtId="0" fontId="112" fillId="0" borderId="53" xfId="0" applyFont="1" applyBorder="1" applyAlignment="1">
      <alignment vertical="center" wrapText="1"/>
    </xf>
    <xf numFmtId="0" fontId="36" fillId="0" borderId="57" xfId="0" applyFont="1" applyBorder="1" applyAlignment="1">
      <alignment vertical="center" wrapText="1"/>
    </xf>
    <xf numFmtId="0" fontId="4" fillId="0" borderId="72" xfId="0" applyFont="1" applyBorder="1" applyAlignment="1">
      <alignment vertical="center"/>
    </xf>
    <xf numFmtId="0" fontId="4" fillId="0" borderId="32" xfId="0" applyFont="1" applyBorder="1" applyAlignment="1">
      <alignment vertical="center"/>
    </xf>
    <xf numFmtId="0" fontId="4" fillId="0" borderId="79" xfId="0" applyFont="1" applyFill="1" applyBorder="1" applyAlignment="1">
      <alignment vertical="center"/>
    </xf>
    <xf numFmtId="0" fontId="4" fillId="0" borderId="72" xfId="0" applyFont="1" applyFill="1" applyBorder="1" applyAlignment="1">
      <alignment vertical="center"/>
    </xf>
    <xf numFmtId="0" fontId="4" fillId="0" borderId="32" xfId="0" applyFont="1" applyFill="1" applyBorder="1" applyAlignment="1">
      <alignment vertical="center"/>
    </xf>
    <xf numFmtId="0" fontId="4" fillId="0" borderId="32" xfId="0" applyFont="1" applyFill="1" applyBorder="1" applyAlignment="1">
      <alignment vertical="center" wrapText="1"/>
    </xf>
    <xf numFmtId="0" fontId="64" fillId="0" borderId="72" xfId="0" applyFont="1" applyFill="1" applyBorder="1" applyAlignment="1">
      <alignment vertical="center"/>
    </xf>
    <xf numFmtId="0" fontId="64" fillId="0" borderId="32" xfId="0" applyFont="1" applyFill="1" applyBorder="1" applyAlignment="1">
      <alignment vertical="center"/>
    </xf>
    <xf numFmtId="0" fontId="4" fillId="0" borderId="79" xfId="0" applyFont="1" applyBorder="1" applyAlignment="1">
      <alignment vertical="center"/>
    </xf>
    <xf numFmtId="0" fontId="4" fillId="0" borderId="79" xfId="0" applyFont="1" applyFill="1" applyBorder="1" applyAlignment="1">
      <alignment vertical="center" wrapText="1"/>
    </xf>
    <xf numFmtId="0" fontId="4" fillId="0" borderId="72" xfId="0" applyFont="1" applyBorder="1" applyAlignment="1">
      <alignment vertical="center" wrapText="1"/>
    </xf>
    <xf numFmtId="0" fontId="4" fillId="0" borderId="79" xfId="0" applyFont="1" applyBorder="1" applyAlignment="1">
      <alignment vertical="center" wrapText="1"/>
    </xf>
    <xf numFmtId="0" fontId="4" fillId="0" borderId="32" xfId="0" applyFont="1" applyBorder="1" applyAlignment="1">
      <alignment vertical="center" wrapText="1"/>
    </xf>
    <xf numFmtId="0" fontId="64" fillId="0" borderId="72" xfId="0" applyFont="1" applyBorder="1" applyAlignment="1">
      <alignment vertical="center" wrapText="1"/>
    </xf>
    <xf numFmtId="0" fontId="112" fillId="0" borderId="32" xfId="0" applyFont="1" applyBorder="1" applyAlignment="1">
      <alignment vertical="center" wrapText="1"/>
    </xf>
    <xf numFmtId="0" fontId="36" fillId="0" borderId="79" xfId="0" applyFont="1" applyBorder="1" applyAlignment="1">
      <alignment vertical="center" wrapText="1"/>
    </xf>
    <xf numFmtId="0" fontId="4" fillId="3" borderId="7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4" fillId="3" borderId="51"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52" fillId="21" borderId="0" xfId="52" applyFont="1" applyFill="1" applyBorder="1" applyAlignment="1"/>
    <xf numFmtId="3" fontId="34" fillId="32" borderId="7" xfId="49" applyNumberFormat="1" applyFont="1" applyFill="1" applyBorder="1" applyAlignment="1" applyProtection="1">
      <alignment horizontal="right"/>
      <protection locked="0"/>
    </xf>
    <xf numFmtId="0" fontId="61" fillId="30" borderId="0" xfId="32" applyFont="1" applyFill="1" applyBorder="1" applyAlignment="1">
      <alignment horizontal="center"/>
    </xf>
    <xf numFmtId="3" fontId="34" fillId="32" borderId="77" xfId="49" applyNumberFormat="1" applyFont="1" applyFill="1" applyBorder="1" applyAlignment="1" applyProtection="1">
      <alignment horizontal="right"/>
      <protection locked="0"/>
    </xf>
    <xf numFmtId="49" fontId="52" fillId="30" borderId="17" xfId="52" applyNumberFormat="1" applyFont="1" applyFill="1" applyBorder="1" applyAlignment="1" applyProtection="1">
      <alignment horizontal="center" vertical="center" wrapText="1"/>
    </xf>
    <xf numFmtId="49" fontId="89" fillId="30" borderId="17" xfId="52" applyNumberFormat="1" applyFont="1" applyFill="1" applyBorder="1" applyAlignment="1" applyProtection="1">
      <alignment horizontal="center" vertical="center" wrapText="1"/>
    </xf>
    <xf numFmtId="49" fontId="89" fillId="30" borderId="21" xfId="52" applyNumberFormat="1" applyFont="1" applyFill="1" applyBorder="1" applyAlignment="1" applyProtection="1">
      <alignment horizontal="center" vertical="center" wrapText="1"/>
    </xf>
    <xf numFmtId="49" fontId="61" fillId="30" borderId="21" xfId="52" applyNumberFormat="1" applyFont="1" applyFill="1" applyBorder="1" applyAlignment="1" applyProtection="1">
      <alignment horizontal="center" vertical="center" wrapText="1"/>
    </xf>
    <xf numFmtId="49" fontId="52" fillId="29" borderId="17" xfId="52" applyNumberFormat="1" applyFont="1" applyFill="1" applyBorder="1" applyAlignment="1" applyProtection="1">
      <alignment horizontal="center" vertical="center" wrapText="1"/>
    </xf>
    <xf numFmtId="49" fontId="52" fillId="29" borderId="21" xfId="52" applyNumberFormat="1" applyFont="1" applyFill="1" applyBorder="1" applyAlignment="1" applyProtection="1">
      <alignment horizontal="center" vertical="center" wrapText="1"/>
    </xf>
    <xf numFmtId="49" fontId="61" fillId="25" borderId="2" xfId="52" applyNumberFormat="1" applyFont="1" applyFill="1" applyBorder="1" applyAlignment="1" applyProtection="1">
      <alignment horizontal="center" vertical="center" wrapText="1"/>
    </xf>
    <xf numFmtId="0" fontId="52" fillId="30" borderId="51" xfId="40" quotePrefix="1" applyFont="1" applyFill="1" applyBorder="1" applyAlignment="1" applyProtection="1">
      <alignment horizontal="center" vertical="center" wrapText="1"/>
    </xf>
    <xf numFmtId="0" fontId="52" fillId="30" borderId="17" xfId="40" quotePrefix="1" applyFont="1" applyFill="1" applyBorder="1" applyAlignment="1" applyProtection="1">
      <alignment horizontal="center" vertical="center" wrapText="1"/>
    </xf>
    <xf numFmtId="49" fontId="52" fillId="30" borderId="17" xfId="40" applyNumberFormat="1" applyFont="1" applyFill="1" applyBorder="1" applyAlignment="1" applyProtection="1">
      <alignment horizontal="center" vertical="center" wrapText="1"/>
    </xf>
    <xf numFmtId="0" fontId="52" fillId="30" borderId="21" xfId="40" quotePrefix="1" applyFont="1" applyFill="1" applyBorder="1" applyAlignment="1" applyProtection="1">
      <alignment horizontal="center" vertical="center" wrapText="1"/>
    </xf>
    <xf numFmtId="0" fontId="61" fillId="25" borderId="2" xfId="40" applyFont="1" applyFill="1" applyBorder="1" applyAlignment="1" applyProtection="1">
      <alignment horizontal="center" vertical="center" wrapText="1"/>
    </xf>
    <xf numFmtId="49" fontId="52" fillId="30" borderId="51" xfId="40" quotePrefix="1" applyNumberFormat="1" applyFont="1" applyFill="1" applyBorder="1" applyAlignment="1" applyProtection="1">
      <alignment horizontal="center" vertical="center" wrapText="1"/>
    </xf>
    <xf numFmtId="49" fontId="52" fillId="30" borderId="17" xfId="40" quotePrefix="1" applyNumberFormat="1" applyFont="1" applyFill="1" applyBorder="1" applyAlignment="1" applyProtection="1">
      <alignment horizontal="center" vertical="center" wrapText="1"/>
    </xf>
    <xf numFmtId="49" fontId="52" fillId="30" borderId="21" xfId="40" applyNumberFormat="1" applyFont="1" applyFill="1" applyBorder="1" applyAlignment="1" applyProtection="1">
      <alignment horizontal="center" vertical="center" wrapText="1"/>
    </xf>
    <xf numFmtId="0" fontId="89" fillId="21" borderId="17" xfId="52" applyFont="1" applyFill="1" applyBorder="1" applyAlignment="1" applyProtection="1">
      <alignment horizontal="left" vertical="center"/>
    </xf>
    <xf numFmtId="0" fontId="89" fillId="21" borderId="21" xfId="52" applyFont="1" applyFill="1" applyBorder="1" applyAlignment="1" applyProtection="1">
      <alignment horizontal="left" vertical="center"/>
    </xf>
    <xf numFmtId="0" fontId="61" fillId="21" borderId="21" xfId="52" applyFont="1" applyFill="1" applyBorder="1" applyAlignment="1" applyProtection="1">
      <alignment horizontal="left" vertical="center" wrapText="1"/>
    </xf>
    <xf numFmtId="0" fontId="52" fillId="29" borderId="17" xfId="52" applyFont="1" applyFill="1" applyBorder="1" applyAlignment="1" applyProtection="1">
      <alignment horizontal="left" vertical="center"/>
    </xf>
    <xf numFmtId="0" fontId="52" fillId="29" borderId="21" xfId="52" applyFont="1" applyFill="1" applyBorder="1" applyAlignment="1" applyProtection="1">
      <alignment horizontal="left" vertical="center"/>
    </xf>
    <xf numFmtId="0" fontId="52" fillId="29" borderId="17" xfId="52" applyFont="1" applyFill="1" applyBorder="1" applyAlignment="1" applyProtection="1">
      <alignment horizontal="left" vertical="center" wrapText="1"/>
    </xf>
    <xf numFmtId="0" fontId="52" fillId="21" borderId="21" xfId="52" applyFont="1" applyFill="1" applyBorder="1" applyAlignment="1" applyProtection="1">
      <alignment horizontal="left" vertical="center"/>
    </xf>
    <xf numFmtId="0" fontId="61" fillId="25" borderId="2" xfId="52" applyFont="1" applyFill="1" applyBorder="1" applyAlignment="1" applyProtection="1">
      <alignment horizontal="left" vertical="center" indent="1"/>
    </xf>
    <xf numFmtId="0" fontId="34" fillId="30" borderId="7" xfId="0" applyFont="1" applyFill="1" applyBorder="1" applyAlignment="1" applyProtection="1">
      <alignment horizontal="center" vertical="center" wrapText="1"/>
    </xf>
    <xf numFmtId="0" fontId="34" fillId="30" borderId="7" xfId="0"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0" borderId="44" xfId="0" applyFont="1" applyBorder="1" applyAlignment="1">
      <alignment vertical="center"/>
    </xf>
    <xf numFmtId="0" fontId="4" fillId="0" borderId="50" xfId="0" applyFont="1" applyBorder="1" applyAlignment="1">
      <alignment vertical="center" wrapText="1"/>
    </xf>
    <xf numFmtId="0" fontId="34" fillId="30" borderId="63" xfId="0" applyFont="1" applyFill="1" applyBorder="1" applyAlignment="1" applyProtection="1">
      <alignment horizontal="left" vertical="center" wrapText="1"/>
    </xf>
    <xf numFmtId="0" fontId="34" fillId="30" borderId="63" xfId="0" applyFont="1" applyFill="1" applyBorder="1" applyAlignment="1" applyProtection="1">
      <alignment horizontal="center" vertical="center" wrapText="1"/>
    </xf>
    <xf numFmtId="0" fontId="34" fillId="30" borderId="31" xfId="0" applyFont="1" applyFill="1" applyBorder="1" applyAlignment="1" applyProtection="1">
      <alignment horizontal="center" vertical="center" wrapText="1"/>
    </xf>
    <xf numFmtId="0" fontId="34" fillId="30" borderId="31"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63" xfId="0" applyFont="1" applyFill="1" applyBorder="1" applyAlignment="1" applyProtection="1">
      <alignment horizontal="left" vertical="center" wrapText="1"/>
    </xf>
    <xf numFmtId="49" fontId="13" fillId="30" borderId="0" xfId="32" applyNumberFormat="1" applyFont="1" applyFill="1" applyBorder="1" applyAlignment="1" applyProtection="1">
      <alignment horizontal="left" vertical="center" wrapText="1"/>
      <protection locked="0"/>
    </xf>
    <xf numFmtId="0" fontId="34" fillId="29" borderId="0" xfId="0" applyFont="1" applyFill="1" applyBorder="1" applyAlignment="1">
      <alignment wrapText="1"/>
    </xf>
    <xf numFmtId="0" fontId="33" fillId="29" borderId="0" xfId="0" applyNumberFormat="1" applyFont="1" applyFill="1" applyBorder="1" applyAlignment="1">
      <alignment horizontal="right" wrapText="1"/>
    </xf>
    <xf numFmtId="49" fontId="34" fillId="29" borderId="0" xfId="0" applyNumberFormat="1" applyFont="1" applyFill="1" applyBorder="1" applyAlignment="1">
      <alignment horizontal="right" wrapText="1"/>
    </xf>
    <xf numFmtId="49" fontId="33" fillId="29" borderId="0" xfId="0" applyNumberFormat="1" applyFont="1" applyFill="1" applyBorder="1" applyAlignment="1">
      <alignment horizontal="right" wrapText="1"/>
    </xf>
    <xf numFmtId="0" fontId="34" fillId="30" borderId="0" xfId="32" applyFont="1" applyFill="1" applyBorder="1" applyAlignment="1">
      <alignment wrapText="1"/>
    </xf>
    <xf numFmtId="3" fontId="34" fillId="3" borderId="7" xfId="32" applyNumberFormat="1" applyFont="1" applyFill="1" applyBorder="1" applyAlignment="1" applyProtection="1">
      <alignment horizontal="center" vertical="center"/>
      <protection locked="0"/>
    </xf>
    <xf numFmtId="3" fontId="4" fillId="3" borderId="52" xfId="32" applyNumberFormat="1" applyFont="1" applyFill="1" applyBorder="1" applyAlignment="1" applyProtection="1">
      <alignment horizontal="center" vertical="center"/>
      <protection locked="0"/>
    </xf>
    <xf numFmtId="3" fontId="4" fillId="3" borderId="7" xfId="32" applyNumberFormat="1" applyFont="1" applyFill="1" applyBorder="1" applyAlignment="1" applyProtection="1">
      <alignment horizontal="center" vertical="center"/>
      <protection locked="0"/>
    </xf>
    <xf numFmtId="49" fontId="33" fillId="26" borderId="8" xfId="32" applyNumberFormat="1" applyFont="1" applyFill="1" applyBorder="1" applyAlignment="1">
      <alignment horizontal="left" vertical="center"/>
    </xf>
    <xf numFmtId="49" fontId="33" fillId="26" borderId="3" xfId="32" applyNumberFormat="1" applyFont="1" applyFill="1" applyBorder="1" applyAlignment="1">
      <alignment horizontal="left" vertical="center"/>
    </xf>
    <xf numFmtId="3" fontId="4" fillId="3" borderId="54" xfId="32" applyNumberFormat="1" applyFont="1" applyFill="1" applyBorder="1" applyAlignment="1" applyProtection="1">
      <alignment horizontal="center" vertical="center"/>
      <protection locked="0"/>
    </xf>
    <xf numFmtId="49" fontId="33" fillId="26" borderId="11" xfId="32" applyNumberFormat="1" applyFont="1" applyFill="1" applyBorder="1" applyAlignment="1">
      <alignment horizontal="left" vertical="center"/>
    </xf>
    <xf numFmtId="49" fontId="33" fillId="26" borderId="41" xfId="32" applyNumberFormat="1" applyFont="1" applyFill="1" applyBorder="1" applyAlignment="1">
      <alignment horizontal="left" vertical="center"/>
    </xf>
    <xf numFmtId="0" fontId="4" fillId="0" borderId="0" xfId="32" applyFont="1" applyFill="1"/>
    <xf numFmtId="0" fontId="4" fillId="29" borderId="0" xfId="0" applyFont="1" applyFill="1"/>
    <xf numFmtId="0" fontId="34" fillId="30" borderId="0" xfId="32" applyFont="1" applyFill="1" applyAlignment="1">
      <alignment horizontal="center"/>
    </xf>
    <xf numFmtId="3" fontId="4" fillId="3" borderId="53" xfId="32" applyNumberFormat="1" applyFont="1" applyFill="1" applyBorder="1" applyAlignment="1" applyProtection="1">
      <alignment horizontal="center" vertical="center"/>
      <protection locked="0"/>
    </xf>
    <xf numFmtId="3" fontId="4" fillId="3" borderId="63" xfId="32" applyNumberFormat="1" applyFont="1" applyFill="1" applyBorder="1" applyAlignment="1" applyProtection="1">
      <alignment horizontal="center" vertical="center"/>
      <protection locked="0"/>
    </xf>
    <xf numFmtId="3" fontId="4" fillId="29" borderId="0" xfId="32" applyNumberFormat="1" applyFont="1" applyFill="1" applyBorder="1" applyAlignment="1" applyProtection="1">
      <alignment horizontal="center" vertical="center"/>
      <protection locked="0"/>
    </xf>
    <xf numFmtId="0" fontId="4" fillId="29" borderId="0" xfId="32" applyFont="1" applyFill="1"/>
    <xf numFmtId="3" fontId="4" fillId="3" borderId="32" xfId="32" applyNumberFormat="1" applyFont="1" applyFill="1" applyBorder="1" applyAlignment="1" applyProtection="1">
      <alignment horizontal="center" vertical="center"/>
      <protection locked="0"/>
    </xf>
    <xf numFmtId="3" fontId="34" fillId="3" borderId="75" xfId="32" applyNumberFormat="1" applyFont="1" applyFill="1" applyBorder="1" applyAlignment="1" applyProtection="1">
      <alignment horizontal="center" vertical="center"/>
      <protection locked="0"/>
    </xf>
    <xf numFmtId="3" fontId="34" fillId="3" borderId="73" xfId="32" applyNumberFormat="1" applyFont="1" applyFill="1" applyBorder="1" applyAlignment="1" applyProtection="1">
      <alignment horizontal="center" vertical="center"/>
      <protection locked="0"/>
    </xf>
    <xf numFmtId="3" fontId="34" fillId="3" borderId="76" xfId="32" applyNumberFormat="1" applyFont="1" applyFill="1" applyBorder="1" applyAlignment="1" applyProtection="1">
      <alignment horizontal="center" vertical="center"/>
      <protection locked="0"/>
    </xf>
    <xf numFmtId="3" fontId="34" fillId="3" borderId="52" xfId="32" applyNumberFormat="1" applyFont="1" applyFill="1" applyBorder="1" applyAlignment="1" applyProtection="1">
      <alignment horizontal="center" vertical="center"/>
      <protection locked="0"/>
    </xf>
    <xf numFmtId="3" fontId="34" fillId="3" borderId="53" xfId="32" applyNumberFormat="1" applyFont="1" applyFill="1" applyBorder="1" applyAlignment="1" applyProtection="1">
      <alignment horizontal="center" vertical="center"/>
      <protection locked="0"/>
    </xf>
    <xf numFmtId="3" fontId="34" fillId="3" borderId="55" xfId="32" applyNumberFormat="1" applyFont="1" applyFill="1" applyBorder="1" applyAlignment="1" applyProtection="1">
      <alignment horizontal="center" vertical="center"/>
      <protection locked="0"/>
    </xf>
    <xf numFmtId="3" fontId="4" fillId="3" borderId="73" xfId="32" applyNumberFormat="1" applyFont="1" applyFill="1" applyBorder="1" applyAlignment="1" applyProtection="1">
      <alignment horizontal="center" vertical="center"/>
      <protection locked="0"/>
    </xf>
    <xf numFmtId="3" fontId="4" fillId="3" borderId="76" xfId="32" applyNumberFormat="1" applyFont="1" applyFill="1" applyBorder="1" applyAlignment="1" applyProtection="1">
      <alignment horizontal="center" vertical="center"/>
      <protection locked="0"/>
    </xf>
    <xf numFmtId="3" fontId="4" fillId="3" borderId="72" xfId="32" applyNumberFormat="1" applyFont="1" applyFill="1" applyBorder="1" applyAlignment="1" applyProtection="1">
      <alignment horizontal="center" vertical="center"/>
      <protection locked="0"/>
    </xf>
    <xf numFmtId="3" fontId="4" fillId="3" borderId="75" xfId="32" applyNumberFormat="1" applyFont="1" applyFill="1" applyBorder="1" applyAlignment="1" applyProtection="1">
      <alignment horizontal="center" vertical="center"/>
      <protection locked="0"/>
    </xf>
    <xf numFmtId="0" fontId="107" fillId="30" borderId="0" xfId="32" applyFont="1" applyFill="1"/>
    <xf numFmtId="0" fontId="46" fillId="29" borderId="0" xfId="0" applyFont="1" applyFill="1" applyBorder="1" applyAlignment="1">
      <alignment horizontal="right" vertical="center"/>
    </xf>
    <xf numFmtId="0" fontId="34" fillId="0" borderId="17" xfId="0" applyFont="1" applyFill="1" applyBorder="1" applyAlignment="1">
      <alignment horizontal="center" vertical="center"/>
    </xf>
    <xf numFmtId="9" fontId="34" fillId="30" borderId="17" xfId="1" applyFont="1" applyFill="1" applyBorder="1" applyAlignment="1">
      <alignment horizontal="center" vertical="center"/>
    </xf>
    <xf numFmtId="3" fontId="33" fillId="30" borderId="24" xfId="32" applyNumberFormat="1" applyFont="1" applyFill="1" applyBorder="1" applyAlignment="1">
      <alignment horizontal="center" vertical="center"/>
    </xf>
    <xf numFmtId="9" fontId="34" fillId="0" borderId="17" xfId="1" applyFont="1" applyFill="1" applyBorder="1" applyAlignment="1">
      <alignment horizontal="center" vertical="center"/>
    </xf>
    <xf numFmtId="3" fontId="34" fillId="30" borderId="17" xfId="32" applyNumberFormat="1" applyFont="1" applyFill="1" applyBorder="1" applyAlignment="1">
      <alignment horizontal="left" vertical="center" wrapText="1"/>
    </xf>
    <xf numFmtId="0" fontId="34" fillId="0" borderId="17" xfId="32" applyFont="1" applyFill="1" applyBorder="1" applyAlignment="1">
      <alignment horizontal="center" vertical="center"/>
    </xf>
    <xf numFmtId="0" fontId="34" fillId="30" borderId="17" xfId="32" applyFont="1" applyFill="1" applyBorder="1" applyAlignment="1">
      <alignment horizontal="center" vertical="center"/>
    </xf>
    <xf numFmtId="3" fontId="34" fillId="0" borderId="21" xfId="32" applyNumberFormat="1" applyFont="1" applyFill="1" applyBorder="1" applyAlignment="1">
      <alignment horizontal="center" vertical="center" wrapText="1"/>
    </xf>
    <xf numFmtId="0" fontId="35" fillId="30" borderId="0" xfId="32" applyFont="1" applyFill="1" applyAlignment="1">
      <alignment horizontal="left" vertical="center" wrapText="1"/>
    </xf>
    <xf numFmtId="3" fontId="34" fillId="30" borderId="0" xfId="32" applyNumberFormat="1" applyFont="1" applyFill="1" applyAlignment="1">
      <alignment horizontal="center"/>
    </xf>
    <xf numFmtId="0" fontId="34" fillId="30" borderId="0" xfId="32" applyFont="1" applyFill="1" applyBorder="1" applyAlignment="1">
      <alignment horizontal="center"/>
    </xf>
    <xf numFmtId="0" fontId="34" fillId="30" borderId="0" xfId="32" applyFont="1" applyFill="1" applyBorder="1" applyAlignment="1">
      <alignment horizontal="center" wrapText="1"/>
    </xf>
    <xf numFmtId="0" fontId="6" fillId="30" borderId="0" xfId="32" applyFont="1" applyFill="1"/>
    <xf numFmtId="0" fontId="114" fillId="30" borderId="0" xfId="32" applyFont="1" applyFill="1" applyBorder="1" applyAlignment="1">
      <alignment wrapText="1"/>
    </xf>
    <xf numFmtId="0" fontId="114" fillId="30" borderId="0" xfId="32" applyFont="1" applyFill="1" applyBorder="1" applyAlignment="1">
      <alignment horizontal="center" wrapText="1"/>
    </xf>
    <xf numFmtId="0" fontId="119" fillId="30" borderId="0" xfId="32" applyFont="1" applyFill="1"/>
    <xf numFmtId="3" fontId="34" fillId="30" borderId="53" xfId="32" applyNumberFormat="1" applyFont="1" applyFill="1" applyBorder="1" applyAlignment="1">
      <alignment horizontal="center"/>
    </xf>
    <xf numFmtId="3" fontId="34" fillId="30" borderId="0" xfId="32" applyNumberFormat="1" applyFont="1" applyFill="1" applyBorder="1" applyAlignment="1">
      <alignment horizontal="center"/>
    </xf>
    <xf numFmtId="3" fontId="34" fillId="30" borderId="7" xfId="32" applyNumberFormat="1" applyFont="1" applyFill="1" applyBorder="1" applyAlignment="1">
      <alignment horizontal="center"/>
    </xf>
    <xf numFmtId="3" fontId="34" fillId="30" borderId="63" xfId="32" applyNumberFormat="1" applyFont="1" applyFill="1" applyBorder="1" applyAlignment="1">
      <alignment horizontal="center"/>
    </xf>
    <xf numFmtId="9" fontId="34" fillId="30" borderId="73" xfId="1" applyFont="1" applyFill="1" applyBorder="1" applyAlignment="1">
      <alignment horizontal="center"/>
    </xf>
    <xf numFmtId="9" fontId="34" fillId="30" borderId="7" xfId="1" applyFont="1" applyFill="1" applyBorder="1" applyAlignment="1">
      <alignment horizontal="center"/>
    </xf>
    <xf numFmtId="9" fontId="34" fillId="30" borderId="77" xfId="1" applyFont="1" applyFill="1" applyBorder="1" applyAlignment="1">
      <alignment horizontal="center"/>
    </xf>
    <xf numFmtId="3" fontId="115" fillId="30" borderId="0" xfId="32" applyNumberFormat="1" applyFont="1" applyFill="1" applyBorder="1" applyAlignment="1">
      <alignment horizontal="right" vertical="center" wrapText="1"/>
    </xf>
    <xf numFmtId="3" fontId="115" fillId="30" borderId="0" xfId="32" applyNumberFormat="1" applyFont="1" applyFill="1" applyBorder="1" applyAlignment="1">
      <alignment horizontal="center" vertical="center" wrapText="1"/>
    </xf>
    <xf numFmtId="3" fontId="34" fillId="30" borderId="31" xfId="32" applyNumberFormat="1" applyFont="1" applyFill="1" applyBorder="1" applyAlignment="1">
      <alignment horizontal="center"/>
    </xf>
    <xf numFmtId="3" fontId="34" fillId="30" borderId="44" xfId="32" applyNumberFormat="1" applyFont="1" applyFill="1" applyBorder="1" applyAlignment="1">
      <alignment horizontal="center"/>
    </xf>
    <xf numFmtId="3" fontId="34" fillId="30" borderId="71" xfId="32" applyNumberFormat="1" applyFont="1" applyFill="1" applyBorder="1" applyAlignment="1">
      <alignment horizontal="center"/>
    </xf>
    <xf numFmtId="3" fontId="34" fillId="30" borderId="0" xfId="32" applyNumberFormat="1" applyFont="1" applyFill="1" applyAlignment="1">
      <alignment horizontal="center" vertical="center"/>
    </xf>
    <xf numFmtId="3" fontId="34" fillId="30" borderId="33" xfId="32" applyNumberFormat="1" applyFont="1" applyFill="1" applyBorder="1" applyAlignment="1">
      <alignment horizontal="center" vertical="center"/>
    </xf>
    <xf numFmtId="3" fontId="33" fillId="30" borderId="0" xfId="32" applyNumberFormat="1" applyFont="1" applyFill="1" applyBorder="1" applyAlignment="1">
      <alignment horizontal="right" vertical="center" wrapText="1"/>
    </xf>
    <xf numFmtId="3" fontId="33" fillId="30" borderId="0" xfId="32" applyNumberFormat="1" applyFont="1" applyFill="1" applyBorder="1" applyAlignment="1">
      <alignment horizontal="center" vertical="center" wrapText="1"/>
    </xf>
    <xf numFmtId="3" fontId="34" fillId="30" borderId="77" xfId="32" applyNumberFormat="1" applyFont="1" applyFill="1" applyBorder="1" applyAlignment="1">
      <alignment horizontal="center"/>
    </xf>
    <xf numFmtId="3" fontId="34" fillId="30" borderId="57" xfId="32" applyNumberFormat="1" applyFont="1" applyFill="1" applyBorder="1" applyAlignment="1">
      <alignment horizontal="center"/>
    </xf>
    <xf numFmtId="3" fontId="80" fillId="3" borderId="53" xfId="32" applyNumberFormat="1" applyFont="1" applyFill="1" applyBorder="1" applyAlignment="1">
      <alignment horizontal="center" vertical="center"/>
    </xf>
    <xf numFmtId="0" fontId="36" fillId="30" borderId="0" xfId="32" applyFont="1" applyFill="1" applyAlignment="1">
      <alignment horizontal="center"/>
    </xf>
    <xf numFmtId="3" fontId="35" fillId="30" borderId="0" xfId="32" applyNumberFormat="1" applyFont="1" applyFill="1" applyAlignment="1">
      <alignment horizontal="center"/>
    </xf>
    <xf numFmtId="3" fontId="35" fillId="30" borderId="52" xfId="32" applyNumberFormat="1" applyFont="1" applyFill="1" applyBorder="1" applyAlignment="1">
      <alignment horizontal="center"/>
    </xf>
    <xf numFmtId="3" fontId="35" fillId="30" borderId="49" xfId="32" applyNumberFormat="1" applyFont="1" applyFill="1" applyBorder="1" applyAlignment="1">
      <alignment horizontal="center"/>
    </xf>
    <xf numFmtId="3" fontId="35" fillId="30" borderId="47" xfId="32" applyNumberFormat="1" applyFont="1" applyFill="1" applyBorder="1" applyAlignment="1">
      <alignment horizontal="center"/>
    </xf>
    <xf numFmtId="3" fontId="35" fillId="30" borderId="0" xfId="32" applyNumberFormat="1" applyFont="1" applyFill="1" applyAlignment="1">
      <alignment horizontal="center" vertical="center"/>
    </xf>
    <xf numFmtId="3" fontId="35" fillId="30" borderId="56" xfId="32" applyNumberFormat="1" applyFont="1" applyFill="1" applyBorder="1" applyAlignment="1">
      <alignment horizontal="center"/>
    </xf>
    <xf numFmtId="3" fontId="36" fillId="30" borderId="0" xfId="32" applyNumberFormat="1" applyFont="1" applyFill="1" applyAlignment="1">
      <alignment horizontal="center"/>
    </xf>
    <xf numFmtId="3" fontId="120" fillId="30" borderId="0" xfId="32" applyNumberFormat="1" applyFont="1" applyFill="1" applyAlignment="1">
      <alignment horizontal="center"/>
    </xf>
    <xf numFmtId="0" fontId="35" fillId="29" borderId="0" xfId="0" applyFont="1" applyFill="1" applyBorder="1"/>
    <xf numFmtId="0" fontId="30" fillId="29" borderId="0" xfId="0" applyFont="1" applyFill="1"/>
    <xf numFmtId="0" fontId="35" fillId="30" borderId="0" xfId="32" applyFont="1" applyFill="1" applyBorder="1" applyAlignment="1">
      <alignment horizontal="center"/>
    </xf>
    <xf numFmtId="3" fontId="35" fillId="30" borderId="7" xfId="32" applyNumberFormat="1" applyFont="1" applyFill="1" applyBorder="1" applyAlignment="1">
      <alignment horizontal="center"/>
    </xf>
    <xf numFmtId="3" fontId="35" fillId="30" borderId="31" xfId="32" applyNumberFormat="1" applyFont="1" applyFill="1" applyBorder="1" applyAlignment="1">
      <alignment horizontal="center"/>
    </xf>
    <xf numFmtId="3" fontId="35" fillId="30" borderId="71" xfId="32" applyNumberFormat="1" applyFont="1" applyFill="1" applyBorder="1" applyAlignment="1">
      <alignment horizontal="center"/>
    </xf>
    <xf numFmtId="3" fontId="35" fillId="30" borderId="77" xfId="32" applyNumberFormat="1" applyFont="1" applyFill="1" applyBorder="1" applyAlignment="1">
      <alignment horizontal="center"/>
    </xf>
    <xf numFmtId="0" fontId="36" fillId="30" borderId="0" xfId="32" applyFont="1" applyFill="1" applyBorder="1" applyAlignment="1">
      <alignment horizontal="center"/>
    </xf>
    <xf numFmtId="0" fontId="30" fillId="29" borderId="0" xfId="0" applyFont="1" applyFill="1" applyAlignment="1">
      <alignment horizontal="center"/>
    </xf>
    <xf numFmtId="0" fontId="35" fillId="30" borderId="0" xfId="0" applyFont="1" applyFill="1" applyAlignment="1">
      <alignment horizontal="center"/>
    </xf>
    <xf numFmtId="0" fontId="39" fillId="30" borderId="0" xfId="0" applyFont="1" applyFill="1" applyAlignment="1">
      <alignment horizontal="center"/>
    </xf>
    <xf numFmtId="3" fontId="35" fillId="30" borderId="0" xfId="32" applyNumberFormat="1" applyFont="1" applyFill="1" applyBorder="1" applyAlignment="1">
      <alignment horizontal="center"/>
    </xf>
    <xf numFmtId="3" fontId="39" fillId="40" borderId="38" xfId="32" applyNumberFormat="1" applyFont="1" applyFill="1" applyBorder="1" applyAlignment="1">
      <alignment horizontal="center" vertical="center"/>
    </xf>
    <xf numFmtId="3" fontId="33" fillId="40" borderId="9" xfId="32" applyNumberFormat="1" applyFont="1" applyFill="1" applyBorder="1" applyAlignment="1">
      <alignment horizontal="center" vertical="center"/>
    </xf>
    <xf numFmtId="3" fontId="33" fillId="40" borderId="10" xfId="32" applyNumberFormat="1" applyFont="1" applyFill="1" applyBorder="1" applyAlignment="1">
      <alignment horizontal="center" vertical="center"/>
    </xf>
    <xf numFmtId="1" fontId="39" fillId="40" borderId="38" xfId="32" applyNumberFormat="1" applyFont="1" applyFill="1" applyBorder="1" applyAlignment="1">
      <alignment horizontal="center" vertical="center" wrapText="1"/>
    </xf>
    <xf numFmtId="1" fontId="39" fillId="40" borderId="10" xfId="32" applyNumberFormat="1" applyFont="1" applyFill="1" applyBorder="1" applyAlignment="1">
      <alignment horizontal="center" vertical="center" wrapText="1"/>
    </xf>
    <xf numFmtId="1" fontId="33" fillId="40" borderId="65" xfId="32" applyNumberFormat="1" applyFont="1" applyFill="1" applyBorder="1" applyAlignment="1">
      <alignment horizontal="center" vertical="center" wrapText="1"/>
    </xf>
    <xf numFmtId="1" fontId="33" fillId="40" borderId="9" xfId="32" applyNumberFormat="1" applyFont="1" applyFill="1" applyBorder="1" applyAlignment="1">
      <alignment horizontal="center" vertical="center" wrapText="1"/>
    </xf>
    <xf numFmtId="1" fontId="33" fillId="40" borderId="60" xfId="32" applyNumberFormat="1" applyFont="1" applyFill="1" applyBorder="1" applyAlignment="1">
      <alignment horizontal="center" vertical="center" wrapText="1"/>
    </xf>
    <xf numFmtId="0" fontId="76" fillId="40" borderId="56" xfId="32" applyFont="1" applyFill="1" applyBorder="1" applyAlignment="1">
      <alignment horizontal="center" vertical="center" wrapText="1"/>
    </xf>
    <xf numFmtId="0" fontId="76" fillId="40" borderId="77" xfId="32" applyFont="1" applyFill="1" applyBorder="1" applyAlignment="1">
      <alignment horizontal="center" vertical="center" wrapText="1"/>
    </xf>
    <xf numFmtId="0" fontId="76" fillId="40" borderId="57" xfId="32" applyFont="1" applyFill="1" applyBorder="1" applyAlignment="1">
      <alignment horizontal="center" vertical="center" wrapText="1"/>
    </xf>
    <xf numFmtId="0" fontId="33" fillId="40" borderId="79" xfId="32" applyFont="1" applyFill="1" applyBorder="1" applyAlignment="1">
      <alignment horizontal="center" vertical="center"/>
    </xf>
    <xf numFmtId="0" fontId="33" fillId="40" borderId="77" xfId="32" applyFont="1" applyFill="1" applyBorder="1" applyAlignment="1">
      <alignment horizontal="center" vertical="center"/>
    </xf>
    <xf numFmtId="0" fontId="33" fillId="40" borderId="57" xfId="32" applyFont="1" applyFill="1" applyBorder="1" applyAlignment="1">
      <alignment horizontal="center" vertical="center"/>
    </xf>
    <xf numFmtId="3" fontId="34" fillId="30" borderId="62" xfId="32" applyNumberFormat="1" applyFont="1" applyFill="1" applyBorder="1" applyAlignment="1">
      <alignment horizontal="center"/>
    </xf>
    <xf numFmtId="3" fontId="34" fillId="30" borderId="64" xfId="32" applyNumberFormat="1" applyFont="1" applyFill="1" applyBorder="1" applyAlignment="1">
      <alignment horizontal="center"/>
    </xf>
    <xf numFmtId="9" fontId="34" fillId="30" borderId="74" xfId="1" applyFont="1" applyFill="1" applyBorder="1" applyAlignment="1">
      <alignment horizontal="center"/>
    </xf>
    <xf numFmtId="9" fontId="34" fillId="30" borderId="62" xfId="1" applyFont="1" applyFill="1" applyBorder="1" applyAlignment="1">
      <alignment horizontal="center"/>
    </xf>
    <xf numFmtId="9" fontId="34" fillId="30" borderId="78" xfId="1" applyFont="1" applyFill="1" applyBorder="1" applyAlignment="1">
      <alignment horizontal="center"/>
    </xf>
    <xf numFmtId="9" fontId="34" fillId="30" borderId="5" xfId="49" applyNumberFormat="1" applyFont="1" applyFill="1" applyBorder="1" applyAlignment="1">
      <alignment horizontal="center" vertical="center"/>
    </xf>
    <xf numFmtId="3" fontId="34" fillId="30" borderId="75" xfId="49" applyNumberFormat="1" applyFont="1" applyFill="1" applyBorder="1" applyAlignment="1">
      <alignment horizontal="center" vertical="center" wrapText="1"/>
    </xf>
    <xf numFmtId="3" fontId="34" fillId="30" borderId="73" xfId="49" applyNumberFormat="1" applyFont="1" applyFill="1" applyBorder="1" applyAlignment="1">
      <alignment horizontal="center" vertical="center" wrapText="1"/>
    </xf>
    <xf numFmtId="3" fontId="34" fillId="30" borderId="76" xfId="49" applyNumberFormat="1" applyFont="1" applyFill="1" applyBorder="1" applyAlignment="1">
      <alignment horizontal="center" vertical="center" wrapText="1"/>
    </xf>
    <xf numFmtId="3" fontId="34" fillId="30" borderId="52" xfId="49" applyNumberFormat="1" applyFont="1" applyFill="1" applyBorder="1" applyAlignment="1">
      <alignment horizontal="center" vertical="center" wrapText="1"/>
    </xf>
    <xf numFmtId="3" fontId="34" fillId="30" borderId="7" xfId="49" applyNumberFormat="1" applyFont="1" applyFill="1" applyBorder="1" applyAlignment="1">
      <alignment horizontal="center" vertical="center" wrapText="1"/>
    </xf>
    <xf numFmtId="3" fontId="34" fillId="30" borderId="53" xfId="49" applyNumberFormat="1" applyFont="1" applyFill="1" applyBorder="1" applyAlignment="1">
      <alignment horizontal="center" vertical="center" wrapText="1"/>
    </xf>
    <xf numFmtId="3" fontId="33" fillId="30"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xf>
    <xf numFmtId="3" fontId="33" fillId="30" borderId="7" xfId="49" applyNumberFormat="1" applyFont="1" applyFill="1" applyBorder="1" applyAlignment="1">
      <alignment horizontal="center" vertical="center"/>
    </xf>
    <xf numFmtId="3" fontId="33" fillId="30" borderId="53" xfId="49" applyNumberFormat="1" applyFont="1" applyFill="1" applyBorder="1" applyAlignment="1">
      <alignment horizontal="center" vertical="center"/>
    </xf>
    <xf numFmtId="3" fontId="33" fillId="30" borderId="32" xfId="49" applyNumberFormat="1" applyFont="1" applyFill="1" applyBorder="1" applyAlignment="1">
      <alignment horizontal="center" vertical="center"/>
    </xf>
    <xf numFmtId="3" fontId="33" fillId="21" borderId="32" xfId="49" applyNumberFormat="1" applyFont="1" applyFill="1" applyBorder="1" applyAlignment="1">
      <alignment horizontal="center" vertical="center"/>
    </xf>
    <xf numFmtId="3" fontId="33" fillId="21" borderId="7" xfId="49" applyNumberFormat="1" applyFont="1" applyFill="1" applyBorder="1" applyAlignment="1">
      <alignment horizontal="center" vertical="center"/>
    </xf>
    <xf numFmtId="3" fontId="33" fillId="21" borderId="53" xfId="49" applyNumberFormat="1" applyFont="1" applyFill="1" applyBorder="1" applyAlignment="1">
      <alignment horizontal="center" vertical="center"/>
    </xf>
    <xf numFmtId="0" fontId="34" fillId="30" borderId="24" xfId="49" applyFont="1" applyFill="1" applyBorder="1" applyAlignment="1">
      <alignment horizontal="center" vertical="center"/>
    </xf>
    <xf numFmtId="3" fontId="34" fillId="0" borderId="52" xfId="49" applyNumberFormat="1" applyFont="1" applyFill="1" applyBorder="1" applyAlignment="1">
      <alignment horizontal="center" vertical="center" wrapText="1"/>
    </xf>
    <xf numFmtId="3" fontId="34" fillId="0" borderId="7" xfId="49" applyNumberFormat="1" applyFont="1" applyFill="1" applyBorder="1" applyAlignment="1">
      <alignment horizontal="center" vertical="center" wrapText="1"/>
    </xf>
    <xf numFmtId="3" fontId="34" fillId="0" borderId="53" xfId="49" applyNumberFormat="1" applyFont="1" applyFill="1" applyBorder="1" applyAlignment="1">
      <alignment horizontal="center" vertical="center" wrapText="1"/>
    </xf>
    <xf numFmtId="3" fontId="34" fillId="0" borderId="75" xfId="49" applyNumberFormat="1" applyFont="1" applyFill="1" applyBorder="1" applyAlignment="1">
      <alignment horizontal="center" vertical="center" wrapText="1"/>
    </xf>
    <xf numFmtId="3" fontId="34" fillId="0" borderId="73" xfId="49" applyNumberFormat="1" applyFont="1" applyFill="1" applyBorder="1" applyAlignment="1">
      <alignment horizontal="center" vertical="center" wrapText="1"/>
    </xf>
    <xf numFmtId="3" fontId="34" fillId="0" borderId="76" xfId="49" applyNumberFormat="1" applyFont="1" applyFill="1" applyBorder="1" applyAlignment="1">
      <alignment horizontal="center" vertical="center" wrapText="1"/>
    </xf>
    <xf numFmtId="3" fontId="34" fillId="0" borderId="56" xfId="49" applyNumberFormat="1" applyFont="1" applyFill="1" applyBorder="1" applyAlignment="1">
      <alignment horizontal="center" vertical="center" wrapText="1"/>
    </xf>
    <xf numFmtId="3" fontId="34" fillId="0" borderId="77" xfId="49" applyNumberFormat="1" applyFont="1" applyFill="1" applyBorder="1" applyAlignment="1">
      <alignment horizontal="center" vertical="center" wrapText="1"/>
    </xf>
    <xf numFmtId="3" fontId="34" fillId="0" borderId="57" xfId="49" applyNumberFormat="1" applyFont="1" applyFill="1" applyBorder="1" applyAlignment="1">
      <alignment horizontal="center" vertical="center" wrapText="1"/>
    </xf>
    <xf numFmtId="0" fontId="33" fillId="29" borderId="5" xfId="32" applyFont="1" applyFill="1" applyBorder="1" applyAlignment="1">
      <alignment horizontal="left" vertical="center"/>
    </xf>
    <xf numFmtId="0" fontId="33" fillId="29" borderId="5" xfId="32" applyFont="1" applyFill="1" applyBorder="1" applyAlignment="1">
      <alignment horizontal="center" vertical="center"/>
    </xf>
    <xf numFmtId="3" fontId="60" fillId="29" borderId="15" xfId="32" applyNumberFormat="1" applyFont="1" applyFill="1" applyBorder="1" applyAlignment="1">
      <alignment horizontal="center" vertical="center"/>
    </xf>
    <xf numFmtId="3" fontId="33" fillId="34" borderId="73" xfId="32" applyNumberFormat="1" applyFont="1" applyFill="1" applyBorder="1" applyAlignment="1">
      <alignment horizontal="center" vertical="center"/>
    </xf>
    <xf numFmtId="3" fontId="34" fillId="29" borderId="0" xfId="32" applyNumberFormat="1" applyFont="1" applyFill="1" applyBorder="1" applyAlignment="1">
      <alignment horizontal="center"/>
    </xf>
    <xf numFmtId="3" fontId="33" fillId="34" borderId="73" xfId="0" applyNumberFormat="1" applyFont="1" applyFill="1" applyBorder="1" applyAlignment="1">
      <alignment horizontal="center" vertical="center"/>
    </xf>
    <xf numFmtId="3" fontId="33" fillId="34" borderId="76" xfId="0" applyNumberFormat="1" applyFont="1" applyFill="1" applyBorder="1" applyAlignment="1">
      <alignment horizontal="center" vertical="center"/>
    </xf>
    <xf numFmtId="3" fontId="33" fillId="34" borderId="74" xfId="0" applyNumberFormat="1" applyFont="1" applyFill="1" applyBorder="1" applyAlignment="1">
      <alignment horizontal="center" vertical="center"/>
    </xf>
    <xf numFmtId="3" fontId="33" fillId="34" borderId="74" xfId="32" applyNumberFormat="1" applyFont="1" applyFill="1" applyBorder="1" applyAlignment="1">
      <alignment horizontal="center" vertical="center"/>
    </xf>
    <xf numFmtId="3" fontId="80" fillId="34" borderId="51" xfId="32" applyNumberFormat="1" applyFont="1" applyFill="1" applyBorder="1" applyAlignment="1">
      <alignment horizontal="center" vertical="center"/>
    </xf>
    <xf numFmtId="3" fontId="80" fillId="29" borderId="17" xfId="32" applyNumberFormat="1" applyFont="1" applyFill="1" applyBorder="1" applyAlignment="1">
      <alignment horizontal="center" vertical="center"/>
    </xf>
    <xf numFmtId="3" fontId="80" fillId="29" borderId="21" xfId="32" applyNumberFormat="1" applyFont="1" applyFill="1" applyBorder="1" applyAlignment="1">
      <alignment horizontal="center" vertical="center"/>
    </xf>
    <xf numFmtId="3" fontId="80" fillId="29" borderId="51" xfId="32" applyNumberFormat="1" applyFont="1" applyFill="1" applyBorder="1" applyAlignment="1">
      <alignment horizontal="center" vertical="center"/>
    </xf>
    <xf numFmtId="3" fontId="80" fillId="29" borderId="39" xfId="32" applyNumberFormat="1" applyFont="1" applyFill="1" applyBorder="1" applyAlignment="1">
      <alignment horizontal="center" vertical="center"/>
    </xf>
    <xf numFmtId="167" fontId="33" fillId="34" borderId="1" xfId="49" applyNumberFormat="1" applyFont="1" applyFill="1" applyBorder="1" applyAlignment="1">
      <alignment horizontal="center" wrapText="1"/>
    </xf>
    <xf numFmtId="3" fontId="33" fillId="34" borderId="38" xfId="49" applyNumberFormat="1" applyFont="1" applyFill="1" applyBorder="1" applyAlignment="1">
      <alignment horizontal="center" wrapText="1"/>
    </xf>
    <xf numFmtId="0" fontId="33" fillId="30" borderId="5" xfId="49" applyFont="1" applyFill="1" applyBorder="1" applyAlignment="1">
      <alignment horizontal="center" vertical="center"/>
    </xf>
    <xf numFmtId="9" fontId="33" fillId="30" borderId="5" xfId="49" applyNumberFormat="1" applyFont="1" applyFill="1" applyBorder="1" applyAlignment="1">
      <alignment horizontal="center" vertical="center"/>
    </xf>
    <xf numFmtId="0" fontId="33" fillId="30" borderId="5" xfId="49" applyFont="1" applyFill="1" applyBorder="1" applyAlignment="1">
      <alignment wrapText="1"/>
    </xf>
    <xf numFmtId="0" fontId="33" fillId="0" borderId="25" xfId="49" applyFont="1" applyFill="1" applyBorder="1" applyAlignment="1">
      <alignment horizontal="center" vertical="center" wrapText="1"/>
    </xf>
    <xf numFmtId="3" fontId="33" fillId="30" borderId="75" xfId="49" applyNumberFormat="1" applyFont="1" applyFill="1" applyBorder="1" applyAlignment="1">
      <alignment horizontal="center" vertical="center" wrapText="1"/>
    </xf>
    <xf numFmtId="3" fontId="33" fillId="30" borderId="73" xfId="49" applyNumberFormat="1" applyFont="1" applyFill="1" applyBorder="1" applyAlignment="1">
      <alignment horizontal="center" vertical="center" wrapText="1"/>
    </xf>
    <xf numFmtId="3" fontId="33" fillId="30" borderId="76" xfId="49" applyNumberFormat="1" applyFont="1" applyFill="1" applyBorder="1" applyAlignment="1">
      <alignment horizontal="center" vertical="center" wrapText="1"/>
    </xf>
    <xf numFmtId="0" fontId="34" fillId="0" borderId="25" xfId="49" applyFont="1" applyFill="1" applyBorder="1" applyAlignment="1">
      <alignment horizontal="center" vertical="center" wrapText="1"/>
    </xf>
    <xf numFmtId="3" fontId="34" fillId="0" borderId="5" xfId="49" applyNumberFormat="1" applyFont="1" applyFill="1" applyBorder="1" applyAlignment="1">
      <alignment horizontal="center" vertical="center" wrapText="1"/>
    </xf>
    <xf numFmtId="3" fontId="34" fillId="30" borderId="44" xfId="49" applyNumberFormat="1" applyFont="1" applyFill="1" applyBorder="1" applyAlignment="1">
      <alignment horizontal="center" vertical="center" wrapText="1"/>
    </xf>
    <xf numFmtId="3" fontId="34" fillId="30" borderId="32" xfId="49" applyNumberFormat="1" applyFont="1" applyFill="1" applyBorder="1" applyAlignment="1">
      <alignment horizontal="center" vertical="center" wrapText="1"/>
    </xf>
    <xf numFmtId="3" fontId="34" fillId="30" borderId="15" xfId="49" applyNumberFormat="1" applyFont="1" applyFill="1" applyBorder="1" applyAlignment="1">
      <alignment horizontal="center" vertical="center" wrapText="1"/>
    </xf>
    <xf numFmtId="3" fontId="34" fillId="30" borderId="49" xfId="49" applyNumberFormat="1" applyFont="1" applyFill="1" applyBorder="1" applyAlignment="1">
      <alignment horizontal="center" vertical="center" wrapText="1"/>
    </xf>
    <xf numFmtId="3" fontId="34" fillId="30" borderId="31" xfId="49" applyNumberFormat="1" applyFont="1" applyFill="1" applyBorder="1" applyAlignment="1">
      <alignment horizontal="center" vertical="center" wrapText="1"/>
    </xf>
    <xf numFmtId="3" fontId="34" fillId="30" borderId="50" xfId="49" applyNumberFormat="1" applyFont="1" applyFill="1" applyBorder="1" applyAlignment="1">
      <alignment horizontal="center" vertical="center" wrapText="1"/>
    </xf>
    <xf numFmtId="3" fontId="34" fillId="30" borderId="6" xfId="49" applyNumberFormat="1" applyFont="1" applyFill="1" applyBorder="1" applyAlignment="1">
      <alignment horizontal="center" vertical="center" wrapText="1"/>
    </xf>
    <xf numFmtId="0" fontId="33" fillId="30" borderId="17" xfId="49" applyFont="1" applyFill="1" applyBorder="1" applyAlignment="1">
      <alignment horizontal="center" vertical="center"/>
    </xf>
    <xf numFmtId="9" fontId="33" fillId="30" borderId="17" xfId="49" applyNumberFormat="1" applyFont="1" applyFill="1" applyBorder="1" applyAlignment="1">
      <alignment horizontal="center" vertical="center"/>
    </xf>
    <xf numFmtId="0" fontId="33" fillId="30" borderId="17" xfId="49" applyFont="1" applyFill="1" applyBorder="1" applyAlignment="1">
      <alignment wrapText="1"/>
    </xf>
    <xf numFmtId="0" fontId="33" fillId="30" borderId="24" xfId="49" applyFont="1" applyFill="1" applyBorder="1" applyAlignment="1">
      <alignment horizontal="center" vertical="center"/>
    </xf>
    <xf numFmtId="0" fontId="33" fillId="30" borderId="17" xfId="49" applyFont="1" applyFill="1" applyBorder="1" applyAlignment="1">
      <alignment horizontal="center"/>
    </xf>
    <xf numFmtId="49" fontId="33" fillId="30" borderId="17" xfId="49" applyNumberFormat="1" applyFont="1" applyFill="1" applyBorder="1" applyAlignment="1">
      <alignment wrapText="1"/>
    </xf>
    <xf numFmtId="167" fontId="33" fillId="30" borderId="24" xfId="49" applyNumberFormat="1" applyFont="1" applyFill="1" applyBorder="1" applyAlignment="1">
      <alignment horizontal="center" vertical="center"/>
    </xf>
    <xf numFmtId="167" fontId="34" fillId="36" borderId="24" xfId="49" applyNumberFormat="1" applyFont="1" applyFill="1" applyBorder="1" applyAlignment="1">
      <alignment horizontal="center" vertical="center"/>
    </xf>
    <xf numFmtId="3" fontId="34" fillId="36" borderId="52" xfId="49" applyNumberFormat="1" applyFont="1" applyFill="1" applyBorder="1" applyAlignment="1">
      <alignment horizontal="center" vertical="center"/>
    </xf>
    <xf numFmtId="3" fontId="34" fillId="36" borderId="7" xfId="49" applyNumberFormat="1" applyFont="1" applyFill="1" applyBorder="1" applyAlignment="1">
      <alignment horizontal="center" vertical="center"/>
    </xf>
    <xf numFmtId="3" fontId="34" fillId="36" borderId="53" xfId="49" applyNumberFormat="1" applyFont="1" applyFill="1" applyBorder="1" applyAlignment="1">
      <alignment horizontal="center" vertical="center"/>
    </xf>
    <xf numFmtId="3" fontId="34" fillId="36" borderId="17" xfId="49" applyNumberFormat="1" applyFont="1" applyFill="1" applyBorder="1" applyAlignment="1">
      <alignment horizontal="center" vertical="center"/>
    </xf>
    <xf numFmtId="3" fontId="34" fillId="36" borderId="32" xfId="49" applyNumberFormat="1" applyFont="1" applyFill="1" applyBorder="1" applyAlignment="1">
      <alignment horizontal="center" vertical="center"/>
    </xf>
    <xf numFmtId="0" fontId="35" fillId="30" borderId="17" xfId="49" applyFont="1" applyFill="1" applyBorder="1" applyAlignment="1">
      <alignment horizontal="center" vertical="center"/>
    </xf>
    <xf numFmtId="9" fontId="35" fillId="30" borderId="17" xfId="50" applyFont="1" applyFill="1" applyBorder="1" applyAlignment="1">
      <alignment horizontal="center" vertical="center"/>
    </xf>
    <xf numFmtId="9" fontId="35" fillId="30" borderId="17" xfId="49" applyNumberFormat="1" applyFont="1" applyFill="1" applyBorder="1" applyAlignment="1">
      <alignment horizontal="center" vertical="center"/>
    </xf>
    <xf numFmtId="167" fontId="33" fillId="21" borderId="24" xfId="49" applyNumberFormat="1" applyFont="1" applyFill="1" applyBorder="1" applyAlignment="1">
      <alignment horizontal="center" vertical="center"/>
    </xf>
    <xf numFmtId="3" fontId="33" fillId="21" borderId="52" xfId="49" applyNumberFormat="1" applyFont="1" applyFill="1" applyBorder="1" applyAlignment="1">
      <alignment horizontal="center" vertical="center"/>
    </xf>
    <xf numFmtId="3" fontId="33" fillId="21"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wrapText="1"/>
    </xf>
    <xf numFmtId="3" fontId="33" fillId="30" borderId="7" xfId="49" applyNumberFormat="1" applyFont="1" applyFill="1" applyBorder="1" applyAlignment="1">
      <alignment horizontal="center" vertical="center" wrapText="1"/>
    </xf>
    <xf numFmtId="3" fontId="33" fillId="30" borderId="62" xfId="49" applyNumberFormat="1" applyFont="1" applyFill="1" applyBorder="1" applyAlignment="1">
      <alignment horizontal="center" vertical="center" wrapText="1"/>
    </xf>
    <xf numFmtId="3" fontId="34" fillId="0" borderId="17" xfId="49" applyNumberFormat="1" applyFont="1" applyFill="1" applyBorder="1" applyAlignment="1">
      <alignment horizontal="center" vertical="center" wrapText="1"/>
    </xf>
    <xf numFmtId="3" fontId="33" fillId="30" borderId="53" xfId="49" applyNumberFormat="1" applyFont="1" applyFill="1" applyBorder="1" applyAlignment="1">
      <alignment horizontal="center" vertical="center" wrapText="1"/>
    </xf>
    <xf numFmtId="3" fontId="33" fillId="30" borderId="32" xfId="49" applyNumberFormat="1" applyFont="1" applyFill="1" applyBorder="1" applyAlignment="1">
      <alignment horizontal="center" vertical="center" wrapText="1"/>
    </xf>
    <xf numFmtId="0" fontId="33" fillId="0" borderId="24" xfId="49" applyFont="1" applyFill="1" applyBorder="1" applyAlignment="1">
      <alignment horizontal="center" vertical="center"/>
    </xf>
    <xf numFmtId="0" fontId="33" fillId="30" borderId="36" xfId="49" applyFont="1" applyFill="1" applyBorder="1" applyAlignment="1">
      <alignment horizontal="center" vertical="center"/>
    </xf>
    <xf numFmtId="3" fontId="33" fillId="30" borderId="56" xfId="49" applyNumberFormat="1" applyFont="1" applyFill="1" applyBorder="1" applyAlignment="1">
      <alignment horizontal="center" vertical="center" wrapText="1"/>
    </xf>
    <xf numFmtId="3" fontId="33" fillId="30" borderId="77" xfId="49" applyNumberFormat="1" applyFont="1" applyFill="1" applyBorder="1" applyAlignment="1">
      <alignment horizontal="center" vertical="center" wrapText="1"/>
    </xf>
    <xf numFmtId="3" fontId="33" fillId="30" borderId="78" xfId="49" applyNumberFormat="1" applyFont="1" applyFill="1" applyBorder="1" applyAlignment="1">
      <alignment horizontal="center" vertical="center" wrapText="1"/>
    </xf>
    <xf numFmtId="3" fontId="34" fillId="0" borderId="34" xfId="49" applyNumberFormat="1" applyFont="1" applyFill="1" applyBorder="1" applyAlignment="1">
      <alignment horizontal="center" vertical="center" wrapText="1"/>
    </xf>
    <xf numFmtId="3" fontId="33" fillId="30" borderId="57" xfId="49" applyNumberFormat="1" applyFont="1" applyFill="1" applyBorder="1" applyAlignment="1">
      <alignment horizontal="center" vertical="center" wrapText="1"/>
    </xf>
    <xf numFmtId="3" fontId="33" fillId="30" borderId="79" xfId="49" applyNumberFormat="1" applyFont="1" applyFill="1" applyBorder="1" applyAlignment="1">
      <alignment horizontal="center" vertical="center" wrapText="1"/>
    </xf>
    <xf numFmtId="3" fontId="33" fillId="34" borderId="60" xfId="49" applyNumberFormat="1" applyFont="1" applyFill="1" applyBorder="1" applyAlignment="1">
      <alignment horizontal="center" wrapText="1"/>
    </xf>
    <xf numFmtId="3" fontId="33" fillId="0" borderId="75" xfId="49" applyNumberFormat="1" applyFont="1" applyFill="1" applyBorder="1" applyAlignment="1">
      <alignment horizontal="center" vertical="center" wrapText="1"/>
    </xf>
    <xf numFmtId="3" fontId="33" fillId="0" borderId="73" xfId="49" applyNumberFormat="1" applyFont="1" applyFill="1" applyBorder="1" applyAlignment="1">
      <alignment horizontal="center" vertical="center" wrapText="1"/>
    </xf>
    <xf numFmtId="3" fontId="33" fillId="0" borderId="74" xfId="49" applyNumberFormat="1" applyFont="1" applyFill="1" applyBorder="1" applyAlignment="1">
      <alignment horizontal="center" vertical="center" wrapText="1"/>
    </xf>
    <xf numFmtId="3" fontId="33" fillId="0" borderId="51" xfId="49" applyNumberFormat="1" applyFont="1" applyFill="1" applyBorder="1" applyAlignment="1">
      <alignment horizontal="center" vertical="center" wrapText="1"/>
    </xf>
    <xf numFmtId="3" fontId="33" fillId="0" borderId="76" xfId="49" applyNumberFormat="1" applyFont="1" applyFill="1" applyBorder="1" applyAlignment="1">
      <alignment horizontal="center" vertical="center" wrapText="1"/>
    </xf>
    <xf numFmtId="3" fontId="34" fillId="0" borderId="62"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xf>
    <xf numFmtId="3" fontId="33" fillId="0" borderId="7" xfId="49" applyNumberFormat="1" applyFont="1" applyFill="1" applyBorder="1" applyAlignment="1">
      <alignment horizontal="center" vertical="center"/>
    </xf>
    <xf numFmtId="3" fontId="33" fillId="0" borderId="62" xfId="49" applyNumberFormat="1" applyFont="1" applyFill="1" applyBorder="1" applyAlignment="1">
      <alignment horizontal="center" vertical="center"/>
    </xf>
    <xf numFmtId="3" fontId="33" fillId="0" borderId="17" xfId="49" applyNumberFormat="1" applyFont="1" applyFill="1" applyBorder="1" applyAlignment="1">
      <alignment horizontal="center" vertical="center"/>
    </xf>
    <xf numFmtId="3" fontId="33" fillId="0" borderId="53" xfId="49" applyNumberFormat="1" applyFont="1" applyFill="1" applyBorder="1" applyAlignment="1">
      <alignment horizontal="center" vertical="center"/>
    </xf>
    <xf numFmtId="3" fontId="33" fillId="0" borderId="32" xfId="49" applyNumberFormat="1" applyFont="1" applyFill="1" applyBorder="1" applyAlignment="1">
      <alignment horizontal="center" vertical="center"/>
    </xf>
    <xf numFmtId="167" fontId="33" fillId="0" borderId="24" xfId="49" applyNumberFormat="1" applyFont="1" applyFill="1" applyBorder="1" applyAlignment="1">
      <alignment horizontal="center" vertical="center"/>
    </xf>
    <xf numFmtId="3" fontId="34" fillId="30" borderId="62" xfId="49" applyNumberFormat="1" applyFont="1" applyFill="1" applyBorder="1" applyAlignment="1">
      <alignment horizontal="center" vertical="center" wrapText="1"/>
    </xf>
    <xf numFmtId="3" fontId="34" fillId="36" borderId="62" xfId="49" applyNumberFormat="1" applyFont="1" applyFill="1" applyBorder="1" applyAlignment="1">
      <alignment horizontal="center" vertical="center"/>
    </xf>
    <xf numFmtId="3" fontId="35" fillId="0" borderId="52" xfId="49" applyNumberFormat="1" applyFont="1" applyFill="1" applyBorder="1" applyAlignment="1">
      <alignment horizontal="center" vertical="center" wrapText="1"/>
    </xf>
    <xf numFmtId="3" fontId="35" fillId="30" borderId="7" xfId="49" applyNumberFormat="1" applyFont="1" applyFill="1" applyBorder="1" applyAlignment="1">
      <alignment horizontal="center" vertical="center" wrapText="1"/>
    </xf>
    <xf numFmtId="3" fontId="35" fillId="30" borderId="62" xfId="49" applyNumberFormat="1" applyFont="1" applyFill="1" applyBorder="1" applyAlignment="1">
      <alignment horizontal="center" vertical="center" wrapText="1"/>
    </xf>
    <xf numFmtId="3" fontId="35" fillId="30" borderId="52" xfId="49" applyNumberFormat="1" applyFont="1" applyFill="1" applyBorder="1" applyAlignment="1">
      <alignment horizontal="center" vertical="center" wrapText="1"/>
    </xf>
    <xf numFmtId="3" fontId="35" fillId="30" borderId="53"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wrapText="1"/>
    </xf>
    <xf numFmtId="3" fontId="33" fillId="0" borderId="7" xfId="49" applyNumberFormat="1" applyFont="1" applyFill="1" applyBorder="1" applyAlignment="1">
      <alignment horizontal="center" vertical="center" wrapText="1"/>
    </xf>
    <xf numFmtId="3" fontId="33" fillId="0" borderId="62" xfId="49" applyNumberFormat="1" applyFont="1" applyFill="1" applyBorder="1" applyAlignment="1">
      <alignment horizontal="center" vertical="center" wrapText="1"/>
    </xf>
    <xf numFmtId="3" fontId="33" fillId="0" borderId="32" xfId="49" applyNumberFormat="1" applyFont="1" applyFill="1" applyBorder="1" applyAlignment="1">
      <alignment horizontal="center" vertical="center" wrapText="1"/>
    </xf>
    <xf numFmtId="3" fontId="33" fillId="0" borderId="53" xfId="49" applyNumberFormat="1" applyFont="1" applyFill="1" applyBorder="1" applyAlignment="1">
      <alignment horizontal="center" vertical="center" wrapText="1"/>
    </xf>
    <xf numFmtId="0" fontId="33" fillId="30" borderId="30" xfId="49" applyFont="1" applyFill="1" applyBorder="1" applyAlignment="1">
      <alignment horizontal="center" vertical="center"/>
    </xf>
    <xf numFmtId="9" fontId="33" fillId="30" borderId="30" xfId="49" applyNumberFormat="1" applyFont="1" applyFill="1" applyBorder="1" applyAlignment="1">
      <alignment horizontal="center" vertical="center"/>
    </xf>
    <xf numFmtId="49" fontId="33" fillId="30" borderId="21" xfId="49" applyNumberFormat="1" applyFont="1" applyFill="1" applyBorder="1" applyAlignment="1">
      <alignment wrapText="1"/>
    </xf>
    <xf numFmtId="0" fontId="33" fillId="0" borderId="21" xfId="49" applyFont="1" applyFill="1" applyBorder="1" applyAlignment="1">
      <alignment horizontal="center" vertical="center" wrapText="1"/>
    </xf>
    <xf numFmtId="3" fontId="33" fillId="0" borderId="56" xfId="49" applyNumberFormat="1" applyFont="1" applyFill="1" applyBorder="1" applyAlignment="1">
      <alignment horizontal="center" vertical="center" wrapText="1"/>
    </xf>
    <xf numFmtId="3" fontId="33" fillId="0" borderId="77" xfId="49" applyNumberFormat="1" applyFont="1" applyFill="1" applyBorder="1" applyAlignment="1">
      <alignment horizontal="center" vertical="center" wrapText="1"/>
    </xf>
    <xf numFmtId="3" fontId="33" fillId="0" borderId="78" xfId="49" applyNumberFormat="1" applyFont="1" applyFill="1" applyBorder="1" applyAlignment="1">
      <alignment horizontal="center" vertical="center" wrapText="1"/>
    </xf>
    <xf numFmtId="3" fontId="33" fillId="0" borderId="57" xfId="49" applyNumberFormat="1" applyFont="1" applyFill="1" applyBorder="1" applyAlignment="1">
      <alignment horizontal="center" vertical="center" wrapText="1"/>
    </xf>
    <xf numFmtId="3" fontId="33" fillId="0" borderId="79" xfId="49" applyNumberFormat="1" applyFont="1" applyFill="1" applyBorder="1" applyAlignment="1">
      <alignment horizontal="center" vertical="center" wrapText="1"/>
    </xf>
    <xf numFmtId="0" fontId="40" fillId="0" borderId="75" xfId="0" applyFont="1" applyBorder="1" applyAlignment="1">
      <alignment horizontal="center"/>
    </xf>
    <xf numFmtId="0" fontId="40" fillId="0" borderId="76" xfId="0" applyFont="1" applyBorder="1"/>
    <xf numFmtId="0" fontId="38" fillId="0" borderId="29" xfId="0" applyFont="1" applyBorder="1" applyAlignment="1">
      <alignment horizontal="center"/>
    </xf>
    <xf numFmtId="0" fontId="40" fillId="0" borderId="52" xfId="0" applyFont="1" applyBorder="1" applyAlignment="1">
      <alignment horizontal="center"/>
    </xf>
    <xf numFmtId="0" fontId="40" fillId="0" borderId="53" xfId="0" applyFont="1" applyBorder="1"/>
    <xf numFmtId="0" fontId="38" fillId="0" borderId="24" xfId="0" applyFont="1" applyBorder="1" applyAlignment="1">
      <alignment horizontal="center"/>
    </xf>
    <xf numFmtId="49" fontId="40" fillId="0" borderId="52" xfId="0" applyNumberFormat="1" applyFont="1" applyBorder="1" applyAlignment="1" applyProtection="1">
      <alignment horizontal="center" vertical="center" wrapText="1"/>
    </xf>
    <xf numFmtId="0" fontId="38" fillId="21" borderId="24" xfId="0" applyFont="1" applyFill="1" applyBorder="1" applyAlignment="1">
      <alignment horizontal="center" vertical="center" wrapText="1"/>
    </xf>
    <xf numFmtId="0" fontId="40" fillId="0" borderId="52" xfId="40" quotePrefix="1" applyFont="1" applyBorder="1" applyAlignment="1" applyProtection="1">
      <alignment horizontal="center" vertical="center" wrapText="1"/>
    </xf>
    <xf numFmtId="0" fontId="40" fillId="0" borderId="53" xfId="0" applyFont="1" applyFill="1" applyBorder="1"/>
    <xf numFmtId="0" fontId="38" fillId="0" borderId="52" xfId="40" quotePrefix="1" applyFont="1" applyBorder="1" applyAlignment="1" applyProtection="1">
      <alignment horizontal="center" vertical="center" wrapText="1"/>
    </xf>
    <xf numFmtId="0" fontId="38" fillId="0" borderId="53" xfId="0" applyFont="1" applyBorder="1" applyAlignment="1">
      <alignment horizontal="left" indent="1"/>
    </xf>
    <xf numFmtId="0" fontId="38" fillId="0" borderId="53" xfId="0" applyFont="1" applyFill="1" applyBorder="1" applyAlignment="1">
      <alignment horizontal="right"/>
    </xf>
    <xf numFmtId="0" fontId="38" fillId="0" borderId="56" xfId="40" quotePrefix="1" applyFont="1" applyBorder="1" applyAlignment="1" applyProtection="1">
      <alignment horizontal="center" vertical="center" wrapText="1"/>
    </xf>
    <xf numFmtId="0" fontId="38" fillId="0" borderId="57" xfId="0" applyFont="1" applyFill="1" applyBorder="1" applyAlignment="1">
      <alignment horizontal="right"/>
    </xf>
    <xf numFmtId="0" fontId="38" fillId="21" borderId="30" xfId="0" applyFont="1" applyFill="1" applyBorder="1" applyAlignment="1">
      <alignment horizontal="center" vertical="center" wrapText="1"/>
    </xf>
    <xf numFmtId="170" fontId="14" fillId="40" borderId="63" xfId="0" applyNumberFormat="1" applyFont="1" applyFill="1" applyBorder="1" applyAlignment="1" applyProtection="1">
      <alignment horizontal="center" wrapText="1"/>
    </xf>
    <xf numFmtId="170" fontId="14" fillId="40" borderId="55" xfId="0" applyNumberFormat="1" applyFont="1" applyFill="1" applyBorder="1" applyAlignment="1" applyProtection="1">
      <alignment horizontal="center" wrapText="1"/>
    </xf>
    <xf numFmtId="49" fontId="4" fillId="0" borderId="75" xfId="0" applyNumberFormat="1" applyFont="1" applyBorder="1" applyAlignment="1" applyProtection="1">
      <alignment horizontal="center" vertical="center" wrapText="1"/>
    </xf>
    <xf numFmtId="49" fontId="4" fillId="0" borderId="56" xfId="0" applyNumberFormat="1" applyFont="1" applyBorder="1" applyAlignment="1" applyProtection="1">
      <alignment horizontal="center" vertical="center" wrapText="1"/>
    </xf>
    <xf numFmtId="0" fontId="4" fillId="0" borderId="74" xfId="0" applyFont="1" applyBorder="1" applyAlignment="1">
      <alignment horizontal="left" indent="1"/>
    </xf>
    <xf numFmtId="0" fontId="4" fillId="0" borderId="62" xfId="0" applyFont="1" applyBorder="1" applyAlignment="1">
      <alignment horizontal="left" indent="1"/>
    </xf>
    <xf numFmtId="0" fontId="4" fillId="0" borderId="78" xfId="0" applyFont="1" applyBorder="1" applyAlignment="1">
      <alignment horizontal="left" indent="1"/>
    </xf>
    <xf numFmtId="49" fontId="33" fillId="26" borderId="42" xfId="49" applyNumberFormat="1" applyFont="1" applyFill="1" applyBorder="1" applyAlignment="1" applyProtection="1">
      <alignment horizontal="left" vertical="center" wrapText="1"/>
    </xf>
    <xf numFmtId="0" fontId="33" fillId="26" borderId="42" xfId="49" applyFont="1" applyFill="1" applyBorder="1" applyAlignment="1" applyProtection="1">
      <alignment horizontal="left" vertical="center" wrapText="1"/>
    </xf>
    <xf numFmtId="168" fontId="33" fillId="26" borderId="34" xfId="49" applyNumberFormat="1" applyFont="1" applyFill="1" applyBorder="1" applyAlignment="1" applyProtection="1">
      <alignment horizontal="center" vertical="center" wrapText="1"/>
    </xf>
    <xf numFmtId="168" fontId="115" fillId="26" borderId="47" xfId="49" applyNumberFormat="1" applyFont="1" applyFill="1" applyBorder="1" applyAlignment="1" applyProtection="1">
      <alignment horizontal="center" vertical="center" wrapText="1"/>
    </xf>
    <xf numFmtId="174" fontId="117" fillId="26" borderId="48" xfId="49" applyNumberFormat="1" applyFont="1" applyFill="1" applyBorder="1" applyAlignment="1" applyProtection="1">
      <alignment horizontal="center" vertical="center" wrapText="1"/>
    </xf>
    <xf numFmtId="168" fontId="33" fillId="26" borderId="47" xfId="49" applyNumberFormat="1" applyFont="1" applyFill="1" applyBorder="1" applyAlignment="1" applyProtection="1">
      <alignment horizontal="center" vertical="center" wrapText="1"/>
    </xf>
    <xf numFmtId="49" fontId="34" fillId="30" borderId="49" xfId="49" applyNumberFormat="1" applyFont="1" applyFill="1" applyBorder="1" applyAlignment="1" applyProtection="1">
      <alignment horizontal="left" vertical="center" wrapText="1"/>
    </xf>
    <xf numFmtId="0" fontId="34" fillId="30" borderId="61" xfId="49" applyFont="1" applyFill="1" applyBorder="1" applyAlignment="1" applyProtection="1">
      <alignment horizontal="left" vertical="center" wrapText="1"/>
    </xf>
    <xf numFmtId="168" fontId="122" fillId="30" borderId="75" xfId="49" applyNumberFormat="1" applyFont="1" applyFill="1" applyBorder="1" applyAlignment="1" applyProtection="1">
      <alignment horizontal="center" vertical="center" wrapText="1"/>
    </xf>
    <xf numFmtId="174" fontId="106" fillId="30" borderId="76" xfId="49" applyNumberFormat="1" applyFont="1" applyFill="1" applyBorder="1" applyAlignment="1" applyProtection="1">
      <alignment horizontal="center" vertical="center" wrapText="1"/>
    </xf>
    <xf numFmtId="0" fontId="35" fillId="30" borderId="61" xfId="49" applyFont="1" applyFill="1" applyBorder="1" applyAlignment="1" applyProtection="1">
      <alignment horizontal="left" vertical="center" wrapText="1" indent="1"/>
    </xf>
    <xf numFmtId="0" fontId="34" fillId="0" borderId="62" xfId="49" applyFont="1" applyFill="1" applyBorder="1" applyAlignment="1" applyProtection="1">
      <alignment horizontal="left" vertical="center" wrapText="1"/>
    </xf>
    <xf numFmtId="49" fontId="34" fillId="30" borderId="52" xfId="49" applyNumberFormat="1" applyFont="1" applyFill="1" applyBorder="1" applyAlignment="1" applyProtection="1">
      <alignment horizontal="left" vertical="center" wrapText="1"/>
    </xf>
    <xf numFmtId="0" fontId="34" fillId="30" borderId="62" xfId="49" applyFont="1" applyFill="1" applyBorder="1" applyAlignment="1" applyProtection="1">
      <alignment horizontal="left" vertical="center" wrapText="1"/>
    </xf>
    <xf numFmtId="168" fontId="34" fillId="30" borderId="17" xfId="49" applyNumberFormat="1" applyFont="1" applyFill="1" applyBorder="1" applyAlignment="1" applyProtection="1">
      <alignment horizontal="center" vertical="center" wrapText="1"/>
    </xf>
    <xf numFmtId="168" fontId="114" fillId="30" borderId="52" xfId="49" applyNumberFormat="1" applyFont="1" applyFill="1" applyBorder="1" applyAlignment="1" applyProtection="1">
      <alignment horizontal="center" vertical="center" wrapText="1"/>
    </xf>
    <xf numFmtId="174" fontId="106" fillId="30" borderId="53" xfId="49" applyNumberFormat="1" applyFont="1" applyFill="1" applyBorder="1" applyAlignment="1" applyProtection="1">
      <alignment horizontal="center" vertical="center" wrapText="1"/>
    </xf>
    <xf numFmtId="0" fontId="35" fillId="30" borderId="62" xfId="49" applyFont="1" applyFill="1" applyBorder="1" applyAlignment="1" applyProtection="1">
      <alignment horizontal="left" vertical="center" wrapText="1" indent="1"/>
    </xf>
    <xf numFmtId="0" fontId="35" fillId="30" borderId="62" xfId="49" applyFont="1" applyFill="1" applyBorder="1" applyAlignment="1" applyProtection="1">
      <alignment horizontal="left" vertical="center" wrapText="1"/>
    </xf>
    <xf numFmtId="49" fontId="34" fillId="30" borderId="54" xfId="49" applyNumberFormat="1" applyFont="1" applyFill="1" applyBorder="1" applyAlignment="1" applyProtection="1">
      <alignment horizontal="left" vertical="center" wrapText="1"/>
    </xf>
    <xf numFmtId="49" fontId="33" fillId="26" borderId="38" xfId="49" applyNumberFormat="1" applyFont="1" applyFill="1" applyBorder="1" applyAlignment="1" applyProtection="1">
      <alignment horizontal="left" vertical="center" wrapText="1"/>
    </xf>
    <xf numFmtId="0" fontId="33" fillId="26" borderId="60" xfId="49" applyFont="1" applyFill="1" applyBorder="1" applyAlignment="1" applyProtection="1">
      <alignment horizontal="left" vertical="center" wrapText="1"/>
    </xf>
    <xf numFmtId="168" fontId="33" fillId="26" borderId="2" xfId="49" applyNumberFormat="1" applyFont="1" applyFill="1" applyBorder="1" applyAlignment="1" applyProtection="1">
      <alignment horizontal="center" vertical="center" wrapText="1"/>
    </xf>
    <xf numFmtId="168" fontId="115" fillId="26" borderId="38" xfId="49" applyNumberFormat="1" applyFont="1" applyFill="1" applyBorder="1" applyAlignment="1" applyProtection="1">
      <alignment horizontal="center" vertical="center" wrapText="1"/>
    </xf>
    <xf numFmtId="174" fontId="117" fillId="26" borderId="10" xfId="49" applyNumberFormat="1" applyFont="1" applyFill="1" applyBorder="1" applyAlignment="1" applyProtection="1">
      <alignment horizontal="center" vertical="center" wrapText="1"/>
    </xf>
    <xf numFmtId="49" fontId="35" fillId="30" borderId="52" xfId="49" applyNumberFormat="1" applyFont="1" applyFill="1" applyBorder="1" applyAlignment="1" applyProtection="1">
      <alignment horizontal="left" vertical="center" wrapText="1"/>
    </xf>
    <xf numFmtId="0" fontId="34" fillId="30" borderId="52" xfId="49" applyNumberFormat="1" applyFont="1" applyFill="1" applyBorder="1" applyAlignment="1" applyProtection="1">
      <alignment horizontal="left" vertical="center" wrapText="1"/>
    </xf>
    <xf numFmtId="0" fontId="34" fillId="30" borderId="7" xfId="49" applyNumberFormat="1" applyFont="1" applyFill="1" applyBorder="1" applyAlignment="1" applyProtection="1">
      <alignment horizontal="left" vertical="center" wrapText="1"/>
    </xf>
    <xf numFmtId="49" fontId="35" fillId="30" borderId="64" xfId="49" applyNumberFormat="1" applyFont="1" applyFill="1" applyBorder="1" applyAlignment="1" applyProtection="1">
      <alignment horizontal="left" vertical="center" wrapText="1"/>
    </xf>
    <xf numFmtId="0" fontId="33" fillId="26" borderId="38" xfId="49" applyFont="1" applyFill="1" applyBorder="1" applyAlignment="1" applyProtection="1">
      <alignment horizontal="left" vertical="center" wrapText="1"/>
    </xf>
    <xf numFmtId="0" fontId="33" fillId="26" borderId="8" xfId="49" applyFont="1" applyFill="1" applyBorder="1" applyAlignment="1" applyProtection="1">
      <alignment horizontal="left" vertical="center" wrapText="1"/>
    </xf>
    <xf numFmtId="0" fontId="34" fillId="21" borderId="75" xfId="49" applyFont="1" applyFill="1" applyBorder="1" applyAlignment="1" applyProtection="1">
      <alignment horizontal="left" vertical="center" wrapText="1"/>
    </xf>
    <xf numFmtId="0" fontId="34" fillId="0" borderId="61" xfId="49" applyFont="1" applyFill="1" applyBorder="1" applyAlignment="1" applyProtection="1">
      <alignment horizontal="left" vertical="center" wrapText="1"/>
    </xf>
    <xf numFmtId="0" fontId="34" fillId="21" borderId="27" xfId="49" applyFont="1" applyFill="1" applyBorder="1" applyAlignment="1" applyProtection="1">
      <alignment horizontal="left" vertical="center" wrapText="1"/>
    </xf>
    <xf numFmtId="0" fontId="34" fillId="30" borderId="54" xfId="49" applyFont="1" applyFill="1" applyBorder="1" applyAlignment="1" applyProtection="1">
      <alignment horizontal="left" vertical="center" wrapText="1"/>
    </xf>
    <xf numFmtId="0" fontId="34" fillId="0" borderId="64" xfId="49" applyFont="1" applyFill="1" applyBorder="1" applyAlignment="1" applyProtection="1">
      <alignment horizontal="left" vertical="center" wrapText="1"/>
    </xf>
    <xf numFmtId="0" fontId="34" fillId="30" borderId="50" xfId="31" applyFont="1" applyFill="1" applyBorder="1" applyAlignment="1" applyProtection="1">
      <alignment horizontal="left" vertical="center" wrapText="1"/>
    </xf>
    <xf numFmtId="0" fontId="34" fillId="30" borderId="64" xfId="49" applyFont="1" applyFill="1" applyBorder="1" applyAlignment="1" applyProtection="1">
      <alignment horizontal="left" vertical="center" wrapText="1"/>
    </xf>
    <xf numFmtId="49" fontId="34" fillId="30" borderId="62" xfId="49" applyNumberFormat="1" applyFont="1" applyFill="1" applyBorder="1" applyAlignment="1" applyProtection="1">
      <alignment horizontal="left" vertical="center" wrapText="1"/>
    </xf>
    <xf numFmtId="0" fontId="34" fillId="0" borderId="67" xfId="31" applyFont="1" applyFill="1" applyBorder="1" applyAlignment="1" applyProtection="1">
      <alignment vertical="center" wrapText="1"/>
    </xf>
    <xf numFmtId="174" fontId="33" fillId="26" borderId="85" xfId="49" applyNumberFormat="1" applyFont="1" applyFill="1" applyBorder="1" applyAlignment="1" applyProtection="1">
      <alignment horizontal="center" vertical="center" wrapText="1"/>
    </xf>
    <xf numFmtId="174" fontId="33" fillId="26" borderId="38" xfId="49" applyNumberFormat="1" applyFont="1" applyFill="1" applyBorder="1" applyAlignment="1" applyProtection="1">
      <alignment horizontal="center" vertical="center" wrapText="1"/>
    </xf>
    <xf numFmtId="174" fontId="33" fillId="26" borderId="60" xfId="49" applyNumberFormat="1" applyFont="1" applyFill="1" applyBorder="1" applyAlignment="1" applyProtection="1">
      <alignment horizontal="center" vertical="center" wrapText="1"/>
    </xf>
    <xf numFmtId="0" fontId="124" fillId="30" borderId="0" xfId="2" quotePrefix="1" applyFont="1" applyFill="1" applyAlignment="1" applyProtection="1"/>
    <xf numFmtId="0" fontId="92" fillId="30" borderId="0" xfId="49" applyFont="1" applyFill="1"/>
    <xf numFmtId="0" fontId="94" fillId="30" borderId="0" xfId="49" applyFont="1" applyFill="1"/>
    <xf numFmtId="168" fontId="33" fillId="26" borderId="65" xfId="49" applyNumberFormat="1" applyFont="1" applyFill="1" applyBorder="1" applyAlignment="1" applyProtection="1">
      <alignment horizontal="center" vertical="center" wrapText="1"/>
    </xf>
    <xf numFmtId="168" fontId="33" fillId="26" borderId="9" xfId="49" applyNumberFormat="1" applyFont="1" applyFill="1" applyBorder="1" applyAlignment="1" applyProtection="1">
      <alignment horizontal="center" vertical="center" wrapText="1"/>
    </xf>
    <xf numFmtId="168" fontId="33" fillId="26" borderId="10" xfId="49" applyNumberFormat="1" applyFont="1" applyFill="1" applyBorder="1" applyAlignment="1" applyProtection="1">
      <alignment horizontal="center" vertical="center" wrapText="1"/>
    </xf>
    <xf numFmtId="168" fontId="33" fillId="26" borderId="60" xfId="49" applyNumberFormat="1" applyFont="1" applyFill="1" applyBorder="1" applyAlignment="1" applyProtection="1">
      <alignment horizontal="center" vertical="center" wrapText="1"/>
    </xf>
    <xf numFmtId="168" fontId="33" fillId="26" borderId="38" xfId="49" applyNumberFormat="1" applyFont="1" applyFill="1" applyBorder="1" applyAlignment="1" applyProtection="1">
      <alignment horizontal="center" vertical="center" wrapText="1"/>
    </xf>
    <xf numFmtId="168" fontId="34" fillId="36" borderId="5" xfId="49" applyNumberFormat="1" applyFont="1" applyFill="1" applyBorder="1" applyAlignment="1" applyProtection="1">
      <alignment horizontal="center" vertical="center" wrapText="1"/>
    </xf>
    <xf numFmtId="168" fontId="34" fillId="36" borderId="73" xfId="49" applyNumberFormat="1" applyFont="1" applyFill="1" applyBorder="1" applyAlignment="1" applyProtection="1">
      <alignment horizontal="center" vertical="center" wrapText="1"/>
    </xf>
    <xf numFmtId="168" fontId="34" fillId="36" borderId="31" xfId="49" applyNumberFormat="1" applyFont="1" applyFill="1" applyBorder="1" applyAlignment="1" applyProtection="1">
      <alignment horizontal="center" vertical="center" wrapText="1"/>
    </xf>
    <xf numFmtId="168" fontId="34" fillId="36" borderId="6" xfId="49" applyNumberFormat="1" applyFont="1" applyFill="1" applyBorder="1" applyAlignment="1" applyProtection="1">
      <alignment horizontal="center" vertical="center" wrapText="1"/>
    </xf>
    <xf numFmtId="168" fontId="34" fillId="36" borderId="44" xfId="49" applyNumberFormat="1" applyFont="1" applyFill="1" applyBorder="1" applyAlignment="1" applyProtection="1">
      <alignment horizontal="center" vertical="center" wrapText="1"/>
    </xf>
    <xf numFmtId="49" fontId="35" fillId="30" borderId="49" xfId="49" applyNumberFormat="1" applyFont="1" applyFill="1" applyBorder="1" applyAlignment="1" applyProtection="1">
      <alignment horizontal="left" vertical="center" wrapText="1"/>
    </xf>
    <xf numFmtId="168" fontId="34" fillId="36" borderId="17" xfId="49" applyNumberFormat="1" applyFont="1" applyFill="1" applyBorder="1" applyAlignment="1" applyProtection="1">
      <alignment horizontal="center" vertical="center" wrapText="1"/>
    </xf>
    <xf numFmtId="168" fontId="34" fillId="36" borderId="32" xfId="49" applyNumberFormat="1" applyFont="1" applyFill="1" applyBorder="1" applyAlignment="1" applyProtection="1">
      <alignment horizontal="center" vertical="center" wrapText="1"/>
    </xf>
    <xf numFmtId="168" fontId="34" fillId="36" borderId="7" xfId="49" applyNumberFormat="1" applyFont="1" applyFill="1" applyBorder="1" applyAlignment="1" applyProtection="1">
      <alignment horizontal="center" vertical="center" wrapText="1"/>
    </xf>
    <xf numFmtId="168" fontId="34" fillId="36" borderId="53" xfId="49" applyNumberFormat="1" applyFont="1" applyFill="1" applyBorder="1" applyAlignment="1" applyProtection="1">
      <alignment horizontal="center" vertical="center" wrapText="1"/>
    </xf>
    <xf numFmtId="168" fontId="34" fillId="36" borderId="23" xfId="49" applyNumberFormat="1" applyFont="1" applyFill="1" applyBorder="1" applyAlignment="1" applyProtection="1">
      <alignment horizontal="center" vertical="center" wrapText="1"/>
    </xf>
    <xf numFmtId="168" fontId="34" fillId="36" borderId="62" xfId="49" applyNumberFormat="1" applyFont="1" applyFill="1" applyBorder="1" applyAlignment="1" applyProtection="1">
      <alignment horizontal="center" vertical="center" wrapText="1"/>
    </xf>
    <xf numFmtId="168" fontId="34" fillId="36" borderId="24" xfId="49" applyNumberFormat="1" applyFont="1" applyFill="1" applyBorder="1" applyAlignment="1" applyProtection="1">
      <alignment horizontal="center" vertical="center" wrapText="1"/>
    </xf>
    <xf numFmtId="49" fontId="34" fillId="30" borderId="7" xfId="49" applyNumberFormat="1" applyFont="1" applyFill="1" applyBorder="1" applyAlignment="1" applyProtection="1">
      <alignment horizontal="left" vertical="center" wrapText="1"/>
    </xf>
    <xf numFmtId="0" fontId="34" fillId="21" borderId="52" xfId="49" applyFont="1" applyFill="1" applyBorder="1" applyAlignment="1" applyProtection="1">
      <alignment horizontal="left" vertical="center" wrapText="1"/>
    </xf>
    <xf numFmtId="168" fontId="33" fillId="26" borderId="8" xfId="49" applyNumberFormat="1" applyFont="1" applyFill="1" applyBorder="1" applyAlignment="1" applyProtection="1">
      <alignment horizontal="center" vertical="center" wrapText="1"/>
    </xf>
    <xf numFmtId="167" fontId="33" fillId="26" borderId="85" xfId="49" applyNumberFormat="1" applyFont="1" applyFill="1" applyBorder="1" applyAlignment="1" applyProtection="1">
      <alignment horizontal="center" vertical="center" wrapText="1"/>
    </xf>
    <xf numFmtId="167" fontId="33" fillId="26" borderId="9" xfId="49" applyNumberFormat="1" applyFont="1" applyFill="1" applyBorder="1" applyAlignment="1" applyProtection="1">
      <alignment horizontal="center" vertical="center" wrapText="1"/>
    </xf>
    <xf numFmtId="167" fontId="33" fillId="26" borderId="60" xfId="49" applyNumberFormat="1" applyFont="1" applyFill="1" applyBorder="1" applyAlignment="1" applyProtection="1">
      <alignment horizontal="center" vertical="center" wrapText="1"/>
    </xf>
    <xf numFmtId="167" fontId="33" fillId="26" borderId="10" xfId="49" applyNumberFormat="1" applyFont="1" applyFill="1" applyBorder="1" applyAlignment="1" applyProtection="1">
      <alignment horizontal="center" vertical="center" wrapText="1"/>
    </xf>
    <xf numFmtId="168" fontId="33" fillId="26" borderId="86" xfId="49" applyNumberFormat="1" applyFont="1" applyFill="1" applyBorder="1" applyAlignment="1" applyProtection="1">
      <alignment horizontal="center" vertical="center" wrapText="1"/>
    </xf>
    <xf numFmtId="168" fontId="33" fillId="26" borderId="87" xfId="49" applyNumberFormat="1" applyFont="1" applyFill="1" applyBorder="1" applyAlignment="1" applyProtection="1">
      <alignment horizontal="center" vertical="center" wrapText="1"/>
    </xf>
    <xf numFmtId="168" fontId="33" fillId="0" borderId="2" xfId="49" applyNumberFormat="1" applyFont="1" applyFill="1" applyBorder="1" applyAlignment="1" applyProtection="1">
      <alignment horizontal="center" vertical="center" wrapText="1"/>
    </xf>
    <xf numFmtId="168" fontId="33" fillId="0" borderId="65" xfId="49" applyNumberFormat="1" applyFont="1" applyFill="1" applyBorder="1" applyAlignment="1" applyProtection="1">
      <alignment horizontal="center" vertical="center" wrapText="1"/>
    </xf>
    <xf numFmtId="168" fontId="33" fillId="0" borderId="9" xfId="49" applyNumberFormat="1" applyFont="1" applyFill="1" applyBorder="1" applyAlignment="1" applyProtection="1">
      <alignment horizontal="center" vertical="center" wrapText="1"/>
    </xf>
    <xf numFmtId="168" fontId="33" fillId="0" borderId="10" xfId="49" applyNumberFormat="1" applyFont="1" applyFill="1" applyBorder="1" applyAlignment="1" applyProtection="1">
      <alignment horizontal="center" vertical="center" wrapText="1"/>
    </xf>
    <xf numFmtId="168" fontId="33" fillId="0" borderId="2" xfId="31" applyNumberFormat="1" applyFont="1" applyFill="1" applyBorder="1" applyAlignment="1" applyProtection="1">
      <alignment horizontal="center" vertical="center" wrapText="1"/>
    </xf>
    <xf numFmtId="168" fontId="33" fillId="0" borderId="9" xfId="31" applyNumberFormat="1" applyFont="1" applyFill="1" applyBorder="1" applyAlignment="1" applyProtection="1">
      <alignment horizontal="center" vertical="center" wrapText="1"/>
    </xf>
    <xf numFmtId="168" fontId="33" fillId="0" borderId="10" xfId="31" applyNumberFormat="1" applyFont="1" applyFill="1" applyBorder="1" applyAlignment="1" applyProtection="1">
      <alignment horizontal="center" vertical="center" wrapText="1"/>
    </xf>
    <xf numFmtId="0" fontId="20" fillId="29" borderId="0" xfId="0" applyFont="1" applyFill="1"/>
    <xf numFmtId="0" fontId="40" fillId="0" borderId="7" xfId="0" applyFont="1" applyFill="1" applyBorder="1" applyAlignment="1" applyProtection="1">
      <alignment horizontal="left" vertical="center" wrapText="1"/>
    </xf>
    <xf numFmtId="0" fontId="40" fillId="0" borderId="7" xfId="0" applyFont="1" applyFill="1" applyBorder="1" applyAlignment="1" applyProtection="1">
      <alignment horizontal="center" vertical="center" wrapText="1"/>
    </xf>
    <xf numFmtId="3" fontId="40" fillId="0" borderId="7" xfId="0" applyNumberFormat="1" applyFont="1" applyBorder="1" applyAlignment="1" applyProtection="1">
      <alignment horizontal="center" vertical="center"/>
    </xf>
    <xf numFmtId="3" fontId="40" fillId="0" borderId="53" xfId="0" applyNumberFormat="1" applyFont="1" applyBorder="1" applyAlignment="1" applyProtection="1">
      <alignment horizontal="center" vertical="center"/>
    </xf>
    <xf numFmtId="0" fontId="38" fillId="0" borderId="7" xfId="0" applyFont="1" applyFill="1" applyBorder="1" applyAlignment="1" applyProtection="1">
      <alignment horizontal="left" vertical="center" wrapText="1" indent="1"/>
    </xf>
    <xf numFmtId="0" fontId="38" fillId="0" borderId="7" xfId="0" applyFont="1" applyBorder="1" applyAlignment="1" applyProtection="1">
      <alignment horizontal="center" vertical="center" wrapText="1"/>
    </xf>
    <xf numFmtId="0" fontId="38" fillId="0" borderId="7" xfId="0" applyFont="1" applyBorder="1" applyAlignment="1" applyProtection="1">
      <alignment horizontal="left" vertical="center" wrapText="1" indent="1"/>
    </xf>
    <xf numFmtId="0" fontId="38" fillId="0" borderId="7" xfId="0" applyFont="1" applyBorder="1" applyAlignment="1" applyProtection="1">
      <alignment horizontal="center" vertical="center"/>
    </xf>
    <xf numFmtId="10" fontId="40" fillId="0" borderId="7" xfId="41" applyNumberFormat="1" applyFont="1" applyBorder="1" applyAlignment="1" applyProtection="1">
      <alignment horizontal="center" vertical="center"/>
    </xf>
    <xf numFmtId="10" fontId="40" fillId="0" borderId="53" xfId="41" applyNumberFormat="1" applyFont="1" applyBorder="1" applyAlignment="1" applyProtection="1">
      <alignment horizontal="center" vertical="center"/>
    </xf>
    <xf numFmtId="0" fontId="40" fillId="22" borderId="7" xfId="0" applyFont="1" applyFill="1" applyBorder="1" applyAlignment="1" applyProtection="1">
      <alignment horizontal="left" vertical="center" wrapText="1"/>
    </xf>
    <xf numFmtId="0" fontId="40" fillId="22" borderId="7" xfId="0" applyFont="1" applyFill="1" applyBorder="1" applyAlignment="1" applyProtection="1">
      <alignment horizontal="center" vertical="center" wrapText="1"/>
    </xf>
    <xf numFmtId="10" fontId="40" fillId="22" borderId="7" xfId="41" applyNumberFormat="1" applyFont="1" applyFill="1" applyBorder="1" applyAlignment="1" applyProtection="1">
      <alignment horizontal="center" vertical="center"/>
    </xf>
    <xf numFmtId="0" fontId="38" fillId="0" borderId="7" xfId="0" applyFont="1" applyBorder="1" applyAlignment="1" applyProtection="1">
      <alignment horizontal="left" vertical="center" wrapText="1"/>
    </xf>
    <xf numFmtId="3" fontId="38" fillId="0" borderId="7" xfId="41" applyNumberFormat="1" applyFont="1" applyFill="1" applyBorder="1" applyAlignment="1" applyProtection="1">
      <alignment horizontal="center" vertical="center"/>
    </xf>
    <xf numFmtId="3" fontId="38" fillId="0" borderId="53" xfId="41" applyNumberFormat="1" applyFont="1" applyFill="1" applyBorder="1" applyAlignment="1" applyProtection="1">
      <alignment horizontal="center" vertical="center"/>
    </xf>
    <xf numFmtId="0" fontId="40" fillId="0" borderId="77" xfId="0" applyFont="1" applyBorder="1" applyAlignment="1" applyProtection="1">
      <alignment horizontal="left" vertical="center" wrapText="1"/>
    </xf>
    <xf numFmtId="0" fontId="40" fillId="0" borderId="77" xfId="0" applyFont="1" applyBorder="1" applyAlignment="1" applyProtection="1">
      <alignment horizontal="center" vertical="center" wrapText="1"/>
    </xf>
    <xf numFmtId="3" fontId="40" fillId="0" borderId="77" xfId="0" applyNumberFormat="1" applyFont="1" applyBorder="1" applyAlignment="1" applyProtection="1">
      <alignment horizontal="center" vertical="center"/>
    </xf>
    <xf numFmtId="3" fontId="40" fillId="0" borderId="57" xfId="0" applyNumberFormat="1" applyFont="1" applyBorder="1" applyAlignment="1" applyProtection="1">
      <alignment horizontal="center" vertical="center"/>
    </xf>
    <xf numFmtId="170" fontId="40" fillId="40" borderId="56" xfId="32" applyNumberFormat="1" applyFont="1" applyFill="1" applyBorder="1" applyAlignment="1" applyProtection="1">
      <alignment horizontal="center" wrapText="1"/>
    </xf>
    <xf numFmtId="170" fontId="40" fillId="40" borderId="77" xfId="32" applyNumberFormat="1" applyFont="1" applyFill="1" applyBorder="1" applyAlignment="1" applyProtection="1">
      <alignment horizontal="center" wrapText="1"/>
    </xf>
    <xf numFmtId="170" fontId="40" fillId="40" borderId="57" xfId="32" applyNumberFormat="1" applyFont="1" applyFill="1" applyBorder="1" applyAlignment="1" applyProtection="1">
      <alignment horizontal="center" wrapText="1"/>
    </xf>
    <xf numFmtId="49" fontId="40" fillId="21" borderId="52" xfId="32" applyNumberFormat="1" applyFont="1" applyFill="1" applyBorder="1" applyAlignment="1" applyProtection="1">
      <alignment horizontal="center" vertical="center" wrapText="1"/>
    </xf>
    <xf numFmtId="0" fontId="40" fillId="0" borderId="23" xfId="32" applyFont="1" applyFill="1" applyBorder="1" applyAlignment="1" applyProtection="1">
      <alignment vertical="center" wrapText="1"/>
    </xf>
    <xf numFmtId="167" fontId="38" fillId="0" borderId="7" xfId="32" applyNumberFormat="1" applyFont="1" applyFill="1" applyBorder="1" applyAlignment="1" applyProtection="1">
      <alignment horizontal="right" vertical="center"/>
      <protection locked="0"/>
    </xf>
    <xf numFmtId="167" fontId="38" fillId="21" borderId="7" xfId="32" applyNumberFormat="1" applyFont="1" applyFill="1" applyBorder="1" applyAlignment="1" applyProtection="1">
      <alignment horizontal="right" vertical="center"/>
      <protection locked="0"/>
    </xf>
    <xf numFmtId="167" fontId="38" fillId="21" borderId="53" xfId="32" applyNumberFormat="1" applyFont="1" applyFill="1" applyBorder="1" applyAlignment="1" applyProtection="1">
      <alignment horizontal="right" vertical="center"/>
      <protection locked="0"/>
    </xf>
    <xf numFmtId="167" fontId="38" fillId="0" borderId="53" xfId="32" applyNumberFormat="1" applyFont="1" applyFill="1" applyBorder="1" applyAlignment="1" applyProtection="1">
      <alignment horizontal="right" vertical="center"/>
      <protection locked="0"/>
    </xf>
    <xf numFmtId="49" fontId="38" fillId="21" borderId="52" xfId="32" applyNumberFormat="1" applyFont="1" applyFill="1" applyBorder="1" applyAlignment="1" applyProtection="1">
      <alignment horizontal="center" vertical="center" wrapText="1"/>
    </xf>
    <xf numFmtId="0" fontId="38" fillId="0" borderId="23" xfId="32" applyFont="1" applyFill="1" applyBorder="1" applyAlignment="1" applyProtection="1">
      <alignment vertical="center" wrapText="1"/>
    </xf>
    <xf numFmtId="167" fontId="38" fillId="21" borderId="52" xfId="32" applyNumberFormat="1" applyFont="1" applyFill="1" applyBorder="1" applyAlignment="1" applyProtection="1">
      <alignment horizontal="right" vertical="center"/>
      <protection locked="0"/>
    </xf>
    <xf numFmtId="171" fontId="33" fillId="28" borderId="47" xfId="0" applyNumberFormat="1" applyFont="1" applyFill="1" applyBorder="1" applyAlignment="1">
      <alignment vertical="center"/>
    </xf>
    <xf numFmtId="0" fontId="33" fillId="0" borderId="26" xfId="0" applyFont="1" applyBorder="1" applyAlignment="1">
      <alignment horizontal="center" vertical="center"/>
    </xf>
    <xf numFmtId="0" fontId="33" fillId="0" borderId="34" xfId="0" applyFont="1" applyFill="1" applyBorder="1" applyAlignment="1">
      <alignment horizontal="left" vertical="center" wrapText="1"/>
    </xf>
    <xf numFmtId="0" fontId="33" fillId="0" borderId="51" xfId="0" applyFont="1" applyBorder="1" applyAlignment="1">
      <alignment horizontal="center"/>
    </xf>
    <xf numFmtId="0" fontId="33" fillId="0" borderId="35" xfId="0" applyFont="1" applyFill="1" applyBorder="1" applyAlignment="1">
      <alignment horizontal="left" vertical="center" wrapText="1"/>
    </xf>
    <xf numFmtId="0" fontId="34" fillId="0" borderId="17" xfId="40" quotePrefix="1" applyFont="1" applyBorder="1" applyAlignment="1" applyProtection="1">
      <alignment horizontal="center" vertical="center" wrapText="1"/>
    </xf>
    <xf numFmtId="0" fontId="34" fillId="0" borderId="21" xfId="40" quotePrefix="1" applyFont="1" applyBorder="1" applyAlignment="1" applyProtection="1">
      <alignment horizontal="center" vertical="center" wrapText="1"/>
    </xf>
    <xf numFmtId="3" fontId="33" fillId="33" borderId="7" xfId="32" applyNumberFormat="1" applyFont="1" applyFill="1" applyBorder="1" applyAlignment="1">
      <alignment horizontal="center"/>
    </xf>
    <xf numFmtId="3" fontId="33" fillId="34" borderId="7" xfId="32" applyNumberFormat="1" applyFont="1" applyFill="1" applyBorder="1" applyAlignment="1">
      <alignment horizontal="center"/>
    </xf>
    <xf numFmtId="3" fontId="34" fillId="0" borderId="7" xfId="32" applyNumberFormat="1" applyFont="1" applyFill="1" applyBorder="1" applyAlignment="1">
      <alignment horizontal="center"/>
    </xf>
    <xf numFmtId="3" fontId="33" fillId="37" borderId="7" xfId="32" applyNumberFormat="1" applyFont="1" applyFill="1" applyBorder="1" applyAlignment="1">
      <alignment horizontal="center"/>
    </xf>
    <xf numFmtId="3" fontId="33" fillId="38" borderId="7" xfId="32" applyNumberFormat="1" applyFont="1" applyFill="1" applyBorder="1" applyAlignment="1">
      <alignment horizontal="center"/>
    </xf>
    <xf numFmtId="1" fontId="33" fillId="42" borderId="1" xfId="21" applyFont="1" applyFill="1" applyBorder="1" applyAlignment="1">
      <alignment horizontal="center" vertical="center" wrapText="1"/>
    </xf>
    <xf numFmtId="1" fontId="33" fillId="42" borderId="38" xfId="21" applyFont="1" applyFill="1" applyBorder="1">
      <alignment horizontal="center" vertical="center" wrapText="1"/>
    </xf>
    <xf numFmtId="1" fontId="33" fillId="42" borderId="9" xfId="21" applyFont="1" applyFill="1" applyBorder="1">
      <alignment horizontal="center" vertical="center" wrapText="1"/>
    </xf>
    <xf numFmtId="1" fontId="33" fillId="42" borderId="10" xfId="21" applyFont="1" applyFill="1" applyBorder="1">
      <alignment horizontal="center" vertical="center" wrapText="1"/>
    </xf>
    <xf numFmtId="1" fontId="33" fillId="42" borderId="65" xfId="21" applyFont="1" applyFill="1" applyBorder="1">
      <alignment horizontal="center" vertical="center" wrapText="1"/>
    </xf>
    <xf numFmtId="1" fontId="33" fillId="42" borderId="2" xfId="21" applyFont="1" applyFill="1" applyBorder="1" applyAlignment="1">
      <alignment horizontal="center" vertical="center" wrapText="1"/>
    </xf>
    <xf numFmtId="1" fontId="33" fillId="42" borderId="1" xfId="21" applyFont="1" applyFill="1" applyBorder="1">
      <alignment horizontal="center" vertical="center" wrapText="1"/>
    </xf>
    <xf numFmtId="1" fontId="33" fillId="42" borderId="2" xfId="21" applyFont="1" applyFill="1" applyBorder="1">
      <alignment horizontal="center" vertical="center" wrapText="1"/>
    </xf>
    <xf numFmtId="1" fontId="13" fillId="42" borderId="1" xfId="21" applyFont="1" applyFill="1" applyBorder="1">
      <alignment horizontal="center" vertical="center" wrapText="1"/>
    </xf>
    <xf numFmtId="1" fontId="13" fillId="42" borderId="38" xfId="21" applyFont="1" applyFill="1" applyBorder="1">
      <alignment horizontal="center" vertical="center" wrapText="1"/>
    </xf>
    <xf numFmtId="1" fontId="13" fillId="42" borderId="9" xfId="21" applyFont="1" applyFill="1" applyBorder="1">
      <alignment horizontal="center" vertical="center" wrapText="1"/>
    </xf>
    <xf numFmtId="1" fontId="13" fillId="42" borderId="10" xfId="21" applyFont="1" applyFill="1" applyBorder="1">
      <alignment horizontal="center" vertical="center" wrapText="1"/>
    </xf>
    <xf numFmtId="1" fontId="13" fillId="42" borderId="2" xfId="21" applyFont="1" applyFill="1" applyBorder="1">
      <alignment horizontal="center" vertical="center" wrapText="1"/>
    </xf>
    <xf numFmtId="1" fontId="13" fillId="42" borderId="65" xfId="21" applyFont="1" applyFill="1" applyBorder="1">
      <alignment horizontal="center" vertical="center" wrapText="1"/>
    </xf>
    <xf numFmtId="0" fontId="40" fillId="0" borderId="52" xfId="0" applyFont="1" applyFill="1" applyBorder="1" applyAlignment="1" applyProtection="1">
      <alignment horizontal="center" vertical="center" wrapText="1"/>
    </xf>
    <xf numFmtId="49" fontId="38" fillId="0" borderId="52" xfId="0" applyNumberFormat="1" applyFont="1" applyBorder="1" applyAlignment="1" applyProtection="1">
      <alignment horizontal="center" vertical="center" wrapText="1"/>
    </xf>
    <xf numFmtId="0" fontId="40" fillId="22" borderId="52" xfId="0" applyFont="1" applyFill="1" applyBorder="1" applyAlignment="1" applyProtection="1">
      <alignment horizontal="center" vertical="center" wrapText="1"/>
    </xf>
    <xf numFmtId="0" fontId="40" fillId="0" borderId="56" xfId="0" applyFont="1" applyBorder="1" applyAlignment="1" applyProtection="1">
      <alignment horizontal="center" vertical="center"/>
    </xf>
    <xf numFmtId="168" fontId="34" fillId="30" borderId="52" xfId="49" applyNumberFormat="1" applyFont="1" applyFill="1" applyBorder="1" applyAlignment="1" applyProtection="1">
      <alignment horizontal="center" vertical="center" wrapText="1"/>
    </xf>
    <xf numFmtId="174" fontId="33" fillId="29" borderId="0" xfId="49" applyNumberFormat="1" applyFont="1" applyFill="1" applyBorder="1" applyAlignment="1" applyProtection="1">
      <alignment horizontal="center" vertical="center" wrapText="1"/>
    </xf>
    <xf numFmtId="174" fontId="45" fillId="29" borderId="0" xfId="49" applyNumberFormat="1" applyFont="1" applyFill="1" applyAlignment="1">
      <alignment horizontal="center"/>
    </xf>
    <xf numFmtId="174" fontId="45" fillId="29" borderId="0" xfId="49" applyNumberFormat="1" applyFont="1" applyFill="1"/>
    <xf numFmtId="174" fontId="79" fillId="29" borderId="0" xfId="49" applyNumberFormat="1" applyFont="1" applyFill="1"/>
    <xf numFmtId="0" fontId="11" fillId="0" borderId="0" xfId="42" applyNumberFormat="1" applyFont="1" applyBorder="1" applyAlignment="1">
      <alignment horizontal="center"/>
    </xf>
    <xf numFmtId="2" fontId="4" fillId="29" borderId="0" xfId="0" applyNumberFormat="1" applyFont="1" applyFill="1" applyBorder="1" applyAlignment="1" applyProtection="1">
      <alignment horizontal="center" vertical="center"/>
      <protection locked="0"/>
    </xf>
    <xf numFmtId="169" fontId="4" fillId="0" borderId="0" xfId="0" applyNumberFormat="1" applyFont="1"/>
    <xf numFmtId="3" fontId="45" fillId="30" borderId="0" xfId="49" applyNumberFormat="1" applyFont="1" applyFill="1" applyAlignment="1">
      <alignment horizontal="center"/>
    </xf>
    <xf numFmtId="170" fontId="33" fillId="40" borderId="77" xfId="49" applyNumberFormat="1" applyFont="1" applyFill="1" applyBorder="1" applyAlignment="1" applyProtection="1">
      <alignment horizontal="center" wrapText="1"/>
    </xf>
    <xf numFmtId="170" fontId="33" fillId="40" borderId="57" xfId="49" applyNumberFormat="1" applyFont="1" applyFill="1" applyBorder="1" applyAlignment="1" applyProtection="1">
      <alignment horizontal="center" wrapText="1"/>
    </xf>
    <xf numFmtId="170" fontId="33" fillId="40" borderId="79" xfId="49" applyNumberFormat="1" applyFont="1" applyFill="1" applyBorder="1" applyAlignment="1" applyProtection="1">
      <alignment horizontal="center" wrapText="1"/>
    </xf>
    <xf numFmtId="170" fontId="33" fillId="40" borderId="19" xfId="49" applyNumberFormat="1" applyFont="1" applyFill="1" applyBorder="1" applyAlignment="1" applyProtection="1">
      <alignment horizontal="center" wrapText="1"/>
    </xf>
    <xf numFmtId="0" fontId="95" fillId="30" borderId="0" xfId="49" applyFont="1" applyFill="1" applyBorder="1" applyAlignment="1"/>
    <xf numFmtId="3" fontId="63" fillId="0" borderId="0" xfId="2" quotePrefix="1" applyNumberFormat="1" applyFont="1" applyFill="1" applyAlignment="1" applyProtection="1"/>
    <xf numFmtId="0" fontId="63" fillId="0" borderId="0" xfId="2" quotePrefix="1" applyFont="1" applyFill="1" applyBorder="1" applyAlignment="1" applyProtection="1"/>
    <xf numFmtId="0" fontId="34" fillId="0" borderId="0" xfId="31" applyFont="1" applyFill="1"/>
    <xf numFmtId="3" fontId="33" fillId="0" borderId="0" xfId="31" applyNumberFormat="1" applyFont="1" applyFill="1" applyBorder="1"/>
    <xf numFmtId="0" fontId="34" fillId="0" borderId="27" xfId="31" applyFont="1" applyBorder="1"/>
    <xf numFmtId="173" fontId="34" fillId="0" borderId="0" xfId="37" applyNumberFormat="1" applyFont="1" applyFill="1" applyBorder="1" applyAlignment="1" applyProtection="1">
      <alignment horizontal="right" vertical="center" wrapText="1"/>
      <protection locked="0"/>
    </xf>
    <xf numFmtId="0" fontId="33" fillId="0" borderId="0" xfId="0" applyFont="1" applyFill="1" applyBorder="1" applyAlignment="1"/>
    <xf numFmtId="173" fontId="34" fillId="0" borderId="0" xfId="21" applyNumberFormat="1" applyFont="1" applyFill="1" applyBorder="1">
      <alignment horizontal="center" vertical="center" wrapText="1"/>
    </xf>
    <xf numFmtId="173" fontId="33" fillId="0" borderId="73" xfId="21" applyNumberFormat="1" applyFont="1" applyFill="1" applyBorder="1">
      <alignment horizontal="center" vertical="center" wrapText="1"/>
    </xf>
    <xf numFmtId="173" fontId="33" fillId="0" borderId="7" xfId="21" applyNumberFormat="1" applyFont="1" applyFill="1" applyBorder="1">
      <alignment horizontal="center" vertical="center" wrapText="1"/>
    </xf>
    <xf numFmtId="49" fontId="34" fillId="0" borderId="25" xfId="27" applyFont="1" applyFill="1" applyBorder="1">
      <alignment vertical="top" wrapText="1"/>
    </xf>
    <xf numFmtId="49" fontId="34" fillId="0" borderId="24" xfId="27" applyFont="1" applyFill="1" applyBorder="1">
      <alignment vertical="top" wrapText="1"/>
    </xf>
    <xf numFmtId="10" fontId="34" fillId="0" borderId="52" xfId="1" applyNumberFormat="1" applyFont="1" applyFill="1" applyBorder="1" applyAlignment="1">
      <alignment horizontal="right" vertical="center" wrapText="1"/>
    </xf>
    <xf numFmtId="10" fontId="34" fillId="0" borderId="7" xfId="1" applyNumberFormat="1" applyFont="1" applyFill="1" applyBorder="1" applyAlignment="1">
      <alignment horizontal="right" vertical="center" wrapText="1"/>
    </xf>
    <xf numFmtId="10" fontId="34" fillId="0" borderId="53" xfId="1" applyNumberFormat="1" applyFont="1" applyFill="1" applyBorder="1" applyAlignment="1">
      <alignment horizontal="right" vertical="center" wrapText="1"/>
    </xf>
    <xf numFmtId="38" fontId="34" fillId="0" borderId="52" xfId="28" applyFont="1" applyFill="1" applyBorder="1">
      <alignment horizontal="right" vertical="center" wrapText="1"/>
    </xf>
    <xf numFmtId="38" fontId="34" fillId="0" borderId="7" xfId="28" applyFont="1" applyFill="1" applyBorder="1">
      <alignment horizontal="right" vertical="center" wrapText="1"/>
    </xf>
    <xf numFmtId="38" fontId="34" fillId="0" borderId="53" xfId="28" applyFont="1" applyFill="1" applyBorder="1">
      <alignment horizontal="right" vertical="center" wrapText="1"/>
    </xf>
    <xf numFmtId="38" fontId="34" fillId="0" borderId="54" xfId="28" applyFont="1" applyFill="1" applyBorder="1">
      <alignment horizontal="right" vertical="center" wrapText="1"/>
    </xf>
    <xf numFmtId="38" fontId="34" fillId="0" borderId="63" xfId="28" applyFont="1" applyFill="1" applyBorder="1">
      <alignment horizontal="right" vertical="center" wrapText="1"/>
    </xf>
    <xf numFmtId="38" fontId="34" fillId="0" borderId="55" xfId="28" applyFont="1" applyFill="1" applyBorder="1">
      <alignment horizontal="right" vertical="center" wrapText="1"/>
    </xf>
    <xf numFmtId="49" fontId="34" fillId="0" borderId="30" xfId="27" applyFont="1" applyFill="1" applyBorder="1">
      <alignment vertical="top" wrapText="1"/>
    </xf>
    <xf numFmtId="38" fontId="34" fillId="0" borderId="56" xfId="28" applyFont="1" applyFill="1" applyBorder="1">
      <alignment horizontal="right" vertical="center" wrapText="1"/>
    </xf>
    <xf numFmtId="38" fontId="34" fillId="0" borderId="77" xfId="28" applyFont="1" applyFill="1" applyBorder="1">
      <alignment horizontal="right" vertical="center" wrapText="1"/>
    </xf>
    <xf numFmtId="38" fontId="34" fillId="0" borderId="57" xfId="28" applyFont="1" applyFill="1" applyBorder="1">
      <alignment horizontal="right" vertical="center" wrapText="1"/>
    </xf>
    <xf numFmtId="0" fontId="33" fillId="0" borderId="0" xfId="31" applyFont="1" applyFill="1" applyBorder="1" applyAlignment="1">
      <alignment horizontal="right"/>
    </xf>
    <xf numFmtId="3" fontId="33" fillId="34" borderId="51" xfId="32" applyNumberFormat="1" applyFont="1" applyFill="1" applyBorder="1" applyAlignment="1">
      <alignment horizontal="center" vertical="center"/>
    </xf>
    <xf numFmtId="3" fontId="35" fillId="30" borderId="32" xfId="32" applyNumberFormat="1" applyFont="1" applyFill="1" applyBorder="1" applyAlignment="1">
      <alignment horizontal="center"/>
    </xf>
    <xf numFmtId="3" fontId="39" fillId="34" borderId="75" xfId="32" applyNumberFormat="1" applyFont="1" applyFill="1" applyBorder="1" applyAlignment="1">
      <alignment horizontal="center" vertical="center"/>
    </xf>
    <xf numFmtId="3" fontId="33" fillId="34" borderId="76" xfId="32" applyNumberFormat="1" applyFont="1" applyFill="1" applyBorder="1" applyAlignment="1">
      <alignment horizontal="center" vertical="center"/>
    </xf>
    <xf numFmtId="3" fontId="35" fillId="30" borderId="54" xfId="32" applyNumberFormat="1" applyFont="1" applyFill="1" applyBorder="1" applyAlignment="1">
      <alignment horizontal="center"/>
    </xf>
    <xf numFmtId="3" fontId="34" fillId="30" borderId="55" xfId="32" applyNumberFormat="1" applyFont="1" applyFill="1" applyBorder="1" applyAlignment="1">
      <alignment horizontal="center"/>
    </xf>
    <xf numFmtId="9" fontId="35" fillId="30" borderId="75" xfId="1" applyFont="1" applyFill="1" applyBorder="1" applyAlignment="1">
      <alignment horizontal="center"/>
    </xf>
    <xf numFmtId="9" fontId="35" fillId="30" borderId="52" xfId="1" applyFont="1" applyFill="1" applyBorder="1" applyAlignment="1">
      <alignment horizontal="center"/>
    </xf>
    <xf numFmtId="9" fontId="35" fillId="30" borderId="56" xfId="1" applyFont="1" applyFill="1" applyBorder="1" applyAlignment="1">
      <alignment horizontal="center"/>
    </xf>
    <xf numFmtId="3" fontId="80" fillId="29" borderId="35" xfId="32" applyNumberFormat="1" applyFont="1" applyFill="1" applyBorder="1" applyAlignment="1">
      <alignment horizontal="center" vertical="center"/>
    </xf>
    <xf numFmtId="3" fontId="80" fillId="29" borderId="26" xfId="32" applyNumberFormat="1" applyFont="1" applyFill="1" applyBorder="1" applyAlignment="1">
      <alignment horizontal="center" vertical="center"/>
    </xf>
    <xf numFmtId="38" fontId="34" fillId="0" borderId="0" xfId="28" applyFont="1" applyFill="1" applyBorder="1">
      <alignment horizontal="right" vertical="center" wrapText="1"/>
    </xf>
    <xf numFmtId="173" fontId="33" fillId="40" borderId="77" xfId="31" applyNumberFormat="1" applyFont="1" applyFill="1" applyBorder="1" applyAlignment="1">
      <alignment vertical="center"/>
    </xf>
    <xf numFmtId="173" fontId="33" fillId="40" borderId="57" xfId="31" applyNumberFormat="1" applyFont="1" applyFill="1" applyBorder="1" applyAlignment="1">
      <alignment vertical="center"/>
    </xf>
    <xf numFmtId="173" fontId="33" fillId="40" borderId="56" xfId="31" applyNumberFormat="1" applyFont="1" applyFill="1" applyBorder="1" applyAlignment="1">
      <alignment vertical="center"/>
    </xf>
    <xf numFmtId="0" fontId="106" fillId="0" borderId="0" xfId="31" applyFont="1" applyBorder="1" applyAlignment="1">
      <alignment wrapText="1"/>
    </xf>
    <xf numFmtId="173" fontId="106" fillId="0" borderId="0" xfId="37" applyNumberFormat="1" applyFont="1" applyFill="1" applyBorder="1" applyAlignment="1" applyProtection="1">
      <alignment horizontal="right" vertical="center" wrapText="1"/>
      <protection locked="0"/>
    </xf>
    <xf numFmtId="173" fontId="33" fillId="0" borderId="72" xfId="21" applyNumberFormat="1" applyFont="1" applyFill="1" applyBorder="1">
      <alignment horizontal="center" vertical="center" wrapText="1"/>
    </xf>
    <xf numFmtId="0" fontId="34" fillId="30" borderId="61" xfId="31" applyFont="1" applyFill="1" applyBorder="1" applyAlignment="1" applyProtection="1">
      <alignment horizontal="left" vertical="center" wrapText="1"/>
    </xf>
    <xf numFmtId="0" fontId="34" fillId="0" borderId="61" xfId="31" applyFont="1" applyFill="1" applyBorder="1" applyAlignment="1" applyProtection="1">
      <alignment horizontal="left" vertical="center" wrapText="1"/>
    </xf>
    <xf numFmtId="168" fontId="33" fillId="26" borderId="3" xfId="49" applyNumberFormat="1" applyFont="1" applyFill="1" applyBorder="1" applyAlignment="1" applyProtection="1">
      <alignment horizontal="center" vertical="center" wrapText="1"/>
    </xf>
    <xf numFmtId="49" fontId="34" fillId="30" borderId="66" xfId="49" applyNumberFormat="1" applyFont="1" applyFill="1" applyBorder="1" applyAlignment="1" applyProtection="1">
      <alignment horizontal="left" vertical="center" wrapText="1"/>
    </xf>
    <xf numFmtId="0" fontId="13" fillId="0" borderId="0" xfId="31" applyFont="1" applyAlignment="1">
      <alignment horizontal="center"/>
    </xf>
    <xf numFmtId="0" fontId="4" fillId="0" borderId="0" xfId="31" applyFont="1" applyAlignment="1">
      <alignment horizontal="center"/>
    </xf>
    <xf numFmtId="173" fontId="33" fillId="0" borderId="7" xfId="37" applyNumberFormat="1" applyFont="1" applyFill="1" applyBorder="1" applyAlignment="1" applyProtection="1">
      <alignment horizontal="center" vertical="center" wrapText="1"/>
    </xf>
    <xf numFmtId="173" fontId="35" fillId="0" borderId="7" xfId="37" applyNumberFormat="1" applyFont="1" applyFill="1" applyBorder="1" applyAlignment="1" applyProtection="1">
      <alignment horizontal="right" vertical="center" wrapText="1"/>
    </xf>
    <xf numFmtId="0" fontId="4" fillId="0" borderId="0" xfId="31" applyFont="1" applyFill="1" applyAlignment="1">
      <alignment horizontal="center"/>
    </xf>
    <xf numFmtId="3" fontId="35" fillId="0" borderId="7" xfId="37" applyFont="1" applyFill="1" applyBorder="1" applyAlignment="1" applyProtection="1">
      <alignment horizontal="right" vertical="center" wrapText="1"/>
    </xf>
    <xf numFmtId="3" fontId="34" fillId="0" borderId="7" xfId="31" applyNumberFormat="1" applyFont="1" applyBorder="1" applyAlignment="1" applyProtection="1">
      <alignment horizontal="right"/>
    </xf>
    <xf numFmtId="0" fontId="34" fillId="0" borderId="0" xfId="31" applyFont="1" applyAlignment="1">
      <alignment horizontal="right"/>
    </xf>
    <xf numFmtId="10" fontId="34" fillId="0" borderId="32" xfId="1" applyNumberFormat="1" applyFont="1" applyFill="1" applyBorder="1" applyAlignment="1">
      <alignment horizontal="right" vertical="center" wrapText="1"/>
    </xf>
    <xf numFmtId="38" fontId="34" fillId="0" borderId="32" xfId="28" applyFont="1" applyFill="1" applyBorder="1">
      <alignment horizontal="right" vertical="center" wrapText="1"/>
    </xf>
    <xf numFmtId="0" fontId="33" fillId="0" borderId="75" xfId="31" applyFont="1" applyBorder="1" applyAlignment="1">
      <alignment horizontal="center" vertical="center"/>
    </xf>
    <xf numFmtId="3" fontId="33" fillId="34" borderId="73" xfId="37" applyFont="1" applyFill="1" applyBorder="1" applyAlignment="1" applyProtection="1">
      <alignment horizontal="center" vertical="center" wrapText="1"/>
    </xf>
    <xf numFmtId="3" fontId="33" fillId="34" borderId="76" xfId="37" applyFont="1" applyFill="1" applyBorder="1" applyAlignment="1" applyProtection="1">
      <alignment horizontal="center" vertical="center" wrapText="1"/>
    </xf>
    <xf numFmtId="3" fontId="34" fillId="0" borderId="53" xfId="31" applyNumberFormat="1" applyFont="1" applyBorder="1" applyAlignment="1" applyProtection="1">
      <alignment horizontal="right"/>
    </xf>
    <xf numFmtId="3" fontId="35" fillId="0" borderId="77" xfId="37" applyFont="1" applyFill="1" applyBorder="1" applyAlignment="1" applyProtection="1">
      <alignment horizontal="right" vertical="center" wrapText="1"/>
    </xf>
    <xf numFmtId="3" fontId="34" fillId="0" borderId="77" xfId="31" applyNumberFormat="1" applyFont="1" applyBorder="1" applyAlignment="1" applyProtection="1">
      <alignment horizontal="right"/>
    </xf>
    <xf numFmtId="3" fontId="34" fillId="0" borderId="57" xfId="31" applyNumberFormat="1" applyFont="1" applyBorder="1" applyAlignment="1" applyProtection="1">
      <alignment horizontal="right"/>
    </xf>
    <xf numFmtId="0" fontId="33" fillId="40" borderId="77" xfId="31" applyFont="1" applyFill="1" applyBorder="1" applyAlignment="1">
      <alignment horizontal="center" vertical="center"/>
    </xf>
    <xf numFmtId="0" fontId="33" fillId="40" borderId="57" xfId="31" applyFont="1" applyFill="1" applyBorder="1" applyAlignment="1">
      <alignment horizontal="center" vertical="center"/>
    </xf>
    <xf numFmtId="0" fontId="4" fillId="0" borderId="75" xfId="31" applyFont="1" applyFill="1" applyBorder="1" applyAlignment="1">
      <alignment horizontal="center"/>
    </xf>
    <xf numFmtId="3" fontId="33" fillId="26" borderId="73" xfId="31" applyNumberFormat="1" applyFont="1" applyFill="1" applyBorder="1" applyAlignment="1">
      <alignment horizontal="center"/>
    </xf>
    <xf numFmtId="3" fontId="33" fillId="26" borderId="76" xfId="31" applyNumberFormat="1" applyFont="1" applyFill="1" applyBorder="1" applyAlignment="1">
      <alignment horizontal="center"/>
    </xf>
    <xf numFmtId="0" fontId="13" fillId="0" borderId="52" xfId="31" applyFont="1" applyBorder="1" applyAlignment="1">
      <alignment horizontal="center"/>
    </xf>
    <xf numFmtId="173" fontId="33" fillId="0" borderId="53" xfId="37" applyNumberFormat="1" applyFont="1" applyFill="1" applyBorder="1" applyAlignment="1" applyProtection="1">
      <alignment horizontal="center" vertical="center" wrapText="1"/>
    </xf>
    <xf numFmtId="173" fontId="35" fillId="0" borderId="53" xfId="37" applyNumberFormat="1" applyFont="1" applyFill="1" applyBorder="1" applyAlignment="1" applyProtection="1">
      <alignment horizontal="right" vertical="center" wrapText="1"/>
    </xf>
    <xf numFmtId="173" fontId="35" fillId="0" borderId="77" xfId="37" applyNumberFormat="1" applyFont="1" applyFill="1" applyBorder="1" applyAlignment="1" applyProtection="1">
      <alignment horizontal="right" vertical="center" wrapText="1"/>
    </xf>
    <xf numFmtId="173" fontId="35" fillId="0" borderId="57" xfId="37" applyNumberFormat="1" applyFont="1" applyFill="1" applyBorder="1" applyAlignment="1" applyProtection="1">
      <alignment horizontal="right" vertical="center" wrapText="1"/>
    </xf>
    <xf numFmtId="16" fontId="34" fillId="0" borderId="52" xfId="31" applyNumberFormat="1" applyFont="1" applyBorder="1" applyAlignment="1">
      <alignment horizontal="center"/>
    </xf>
    <xf numFmtId="16" fontId="34" fillId="0" borderId="56" xfId="31" applyNumberFormat="1" applyFont="1" applyBorder="1" applyAlignment="1">
      <alignment horizontal="center"/>
    </xf>
    <xf numFmtId="0" fontId="36" fillId="0" borderId="52" xfId="31" applyFont="1" applyBorder="1" applyAlignment="1">
      <alignment horizontal="center"/>
    </xf>
    <xf numFmtId="0" fontId="36" fillId="0" borderId="56" xfId="31" applyFont="1" applyBorder="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3" fontId="34" fillId="0" borderId="7" xfId="21" applyNumberFormat="1" applyFont="1" applyFill="1" applyBorder="1">
      <alignment horizontal="center" vertical="center" wrapText="1"/>
    </xf>
    <xf numFmtId="0" fontId="4" fillId="0" borderId="75" xfId="0" applyFont="1" applyFill="1" applyBorder="1" applyAlignment="1">
      <alignment horizontal="center"/>
    </xf>
    <xf numFmtId="173" fontId="33" fillId="0" borderId="76" xfId="21" applyNumberFormat="1" applyFont="1" applyFill="1" applyBorder="1">
      <alignment horizontal="center" vertical="center" wrapText="1"/>
    </xf>
    <xf numFmtId="0" fontId="4" fillId="0" borderId="52" xfId="0" applyFont="1" applyFill="1" applyBorder="1" applyAlignment="1">
      <alignment horizontal="center"/>
    </xf>
    <xf numFmtId="173" fontId="33" fillId="0" borderId="53" xfId="21" applyNumberFormat="1" applyFont="1" applyFill="1" applyBorder="1">
      <alignment horizontal="center" vertical="center" wrapText="1"/>
    </xf>
    <xf numFmtId="1" fontId="34" fillId="0" borderId="7" xfId="21" applyNumberFormat="1" applyFont="1" applyFill="1" applyBorder="1">
      <alignment horizontal="center" vertical="center" wrapText="1"/>
    </xf>
    <xf numFmtId="1" fontId="34" fillId="0" borderId="53" xfId="21" applyNumberFormat="1" applyFont="1" applyFill="1" applyBorder="1">
      <alignment horizontal="center" vertical="center" wrapText="1"/>
    </xf>
    <xf numFmtId="3" fontId="34" fillId="0" borderId="53" xfId="21" applyNumberFormat="1" applyFont="1" applyFill="1" applyBorder="1">
      <alignment horizontal="center" vertical="center" wrapText="1"/>
    </xf>
    <xf numFmtId="49" fontId="34" fillId="0" borderId="33" xfId="27" applyFont="1" applyFill="1" applyBorder="1">
      <alignment vertical="top" wrapText="1"/>
    </xf>
    <xf numFmtId="49" fontId="34" fillId="0" borderId="23" xfId="27" applyFont="1" applyFill="1" applyBorder="1">
      <alignment vertical="top" wrapText="1"/>
    </xf>
    <xf numFmtId="0" fontId="34" fillId="0" borderId="15" xfId="31" applyFont="1" applyBorder="1" applyAlignment="1">
      <alignment horizontal="right" wrapText="1"/>
    </xf>
    <xf numFmtId="0" fontId="34" fillId="0" borderId="19" xfId="31" applyFont="1" applyBorder="1" applyAlignment="1">
      <alignment horizontal="right" wrapText="1"/>
    </xf>
    <xf numFmtId="16" fontId="4" fillId="0" borderId="52" xfId="0" applyNumberFormat="1" applyFont="1" applyBorder="1" applyAlignment="1">
      <alignment horizontal="center"/>
    </xf>
    <xf numFmtId="0" fontId="4" fillId="0" borderId="52" xfId="0" applyFont="1" applyBorder="1" applyAlignment="1">
      <alignment horizontal="center"/>
    </xf>
    <xf numFmtId="0" fontId="4" fillId="0" borderId="56" xfId="0" applyFont="1" applyBorder="1" applyAlignment="1">
      <alignment horizontal="center"/>
    </xf>
    <xf numFmtId="49" fontId="34" fillId="0" borderId="28" xfId="27" applyFont="1" applyFill="1" applyBorder="1">
      <alignment vertical="top" wrapText="1"/>
    </xf>
    <xf numFmtId="16" fontId="80" fillId="0" borderId="38" xfId="0" applyNumberFormat="1" applyFont="1" applyBorder="1" applyAlignment="1">
      <alignment horizontal="center"/>
    </xf>
    <xf numFmtId="0" fontId="80" fillId="0" borderId="47" xfId="0" applyFont="1" applyBorder="1" applyAlignment="1">
      <alignment horizontal="center"/>
    </xf>
    <xf numFmtId="0" fontId="33" fillId="26" borderId="74" xfId="31" applyFont="1" applyFill="1" applyBorder="1" applyAlignment="1">
      <alignment horizontal="center"/>
    </xf>
    <xf numFmtId="0" fontId="35" fillId="0" borderId="62" xfId="31" applyFont="1" applyBorder="1" applyAlignment="1">
      <alignment horizontal="right"/>
    </xf>
    <xf numFmtId="0" fontId="35" fillId="0" borderId="78" xfId="31" applyFont="1" applyBorder="1" applyAlignment="1">
      <alignment horizontal="right"/>
    </xf>
    <xf numFmtId="0" fontId="33" fillId="40" borderId="78" xfId="31" applyFont="1" applyFill="1" applyBorder="1" applyAlignment="1">
      <alignment horizontal="center" vertical="center"/>
    </xf>
    <xf numFmtId="3" fontId="33" fillId="34" borderId="74" xfId="37" applyFont="1" applyFill="1" applyBorder="1" applyAlignment="1" applyProtection="1">
      <alignment horizontal="center" vertical="center" wrapText="1"/>
    </xf>
    <xf numFmtId="3" fontId="35" fillId="0" borderId="62" xfId="37" applyFont="1" applyFill="1" applyBorder="1" applyAlignment="1" applyProtection="1">
      <alignment horizontal="right" vertical="center" wrapText="1"/>
    </xf>
    <xf numFmtId="3" fontId="34" fillId="0" borderId="78" xfId="31" applyNumberFormat="1" applyFont="1" applyBorder="1" applyAlignment="1" applyProtection="1">
      <alignment horizontal="right"/>
    </xf>
    <xf numFmtId="0" fontId="33" fillId="40" borderId="79" xfId="31" applyFont="1" applyFill="1" applyBorder="1" applyAlignment="1">
      <alignment horizontal="center" vertical="center"/>
    </xf>
    <xf numFmtId="3" fontId="33" fillId="34" borderId="72" xfId="37" applyFont="1" applyFill="1" applyBorder="1" applyAlignment="1" applyProtection="1">
      <alignment horizontal="center" vertical="center" wrapText="1"/>
    </xf>
    <xf numFmtId="3" fontId="35" fillId="0" borderId="32" xfId="37" applyFont="1" applyFill="1" applyBorder="1" applyAlignment="1" applyProtection="1">
      <alignment horizontal="right" vertical="center" wrapText="1"/>
    </xf>
    <xf numFmtId="3" fontId="34" fillId="0" borderId="79" xfId="31" applyNumberFormat="1" applyFont="1" applyBorder="1" applyAlignment="1" applyProtection="1">
      <alignment horizontal="right"/>
    </xf>
    <xf numFmtId="0" fontId="33" fillId="40" borderId="56" xfId="31" applyFont="1" applyFill="1" applyBorder="1" applyAlignment="1">
      <alignment horizontal="center" vertical="center"/>
    </xf>
    <xf numFmtId="3" fontId="33" fillId="34" borderId="75" xfId="37" applyFont="1" applyFill="1" applyBorder="1" applyAlignment="1" applyProtection="1">
      <alignment horizontal="center" vertical="center" wrapText="1"/>
    </xf>
    <xf numFmtId="3" fontId="35" fillId="0" borderId="52" xfId="37" applyFont="1" applyFill="1" applyBorder="1" applyAlignment="1" applyProtection="1">
      <alignment horizontal="right" vertical="center" wrapText="1"/>
    </xf>
    <xf numFmtId="3" fontId="35" fillId="0" borderId="53" xfId="37" applyFont="1" applyFill="1" applyBorder="1" applyAlignment="1" applyProtection="1">
      <alignment horizontal="right" vertical="center" wrapText="1"/>
    </xf>
    <xf numFmtId="3" fontId="35" fillId="0" borderId="56" xfId="37" applyFont="1" applyFill="1" applyBorder="1" applyAlignment="1" applyProtection="1">
      <alignment horizontal="right" vertical="center" wrapText="1"/>
    </xf>
    <xf numFmtId="3" fontId="35" fillId="0" borderId="57" xfId="37" applyFont="1" applyFill="1" applyBorder="1" applyAlignment="1" applyProtection="1">
      <alignment horizontal="right" vertical="center" wrapText="1"/>
    </xf>
    <xf numFmtId="3" fontId="34" fillId="0" borderId="52" xfId="31" applyNumberFormat="1" applyFont="1" applyBorder="1" applyAlignment="1" applyProtection="1">
      <alignment horizontal="right"/>
    </xf>
    <xf numFmtId="3" fontId="34" fillId="0" borderId="56" xfId="31" applyNumberFormat="1" applyFont="1" applyBorder="1" applyAlignment="1" applyProtection="1">
      <alignment horizontal="right"/>
    </xf>
    <xf numFmtId="0" fontId="33" fillId="29" borderId="62" xfId="31" applyFont="1" applyFill="1" applyBorder="1" applyAlignment="1">
      <alignment horizontal="center" vertical="center"/>
    </xf>
    <xf numFmtId="3" fontId="33" fillId="26" borderId="74" xfId="31" applyNumberFormat="1" applyFont="1" applyFill="1" applyBorder="1" applyAlignment="1">
      <alignment horizontal="center"/>
    </xf>
    <xf numFmtId="173" fontId="33" fillId="0" borderId="62" xfId="37" applyNumberFormat="1" applyFont="1" applyFill="1" applyBorder="1" applyAlignment="1" applyProtection="1">
      <alignment horizontal="center" vertical="center" wrapText="1"/>
    </xf>
    <xf numFmtId="173" fontId="35" fillId="0" borderId="62" xfId="37" applyNumberFormat="1" applyFont="1" applyFill="1" applyBorder="1" applyAlignment="1" applyProtection="1">
      <alignment horizontal="right" vertical="center" wrapText="1"/>
    </xf>
    <xf numFmtId="173" fontId="35" fillId="0" borderId="78" xfId="37" applyNumberFormat="1" applyFont="1" applyFill="1" applyBorder="1" applyAlignment="1" applyProtection="1">
      <alignment horizontal="right" vertical="center" wrapText="1"/>
    </xf>
    <xf numFmtId="3" fontId="33" fillId="26" borderId="72" xfId="31" applyNumberFormat="1" applyFont="1" applyFill="1" applyBorder="1" applyAlignment="1">
      <alignment horizontal="center"/>
    </xf>
    <xf numFmtId="173" fontId="33" fillId="0" borderId="32" xfId="37" applyNumberFormat="1" applyFont="1" applyFill="1" applyBorder="1" applyAlignment="1" applyProtection="1">
      <alignment horizontal="center" vertical="center" wrapText="1"/>
    </xf>
    <xf numFmtId="173" fontId="35" fillId="0" borderId="32" xfId="37" applyNumberFormat="1" applyFont="1" applyFill="1" applyBorder="1" applyAlignment="1" applyProtection="1">
      <alignment horizontal="right" vertical="center" wrapText="1"/>
    </xf>
    <xf numFmtId="173" fontId="35" fillId="0" borderId="79" xfId="37" applyNumberFormat="1" applyFont="1" applyFill="1" applyBorder="1" applyAlignment="1" applyProtection="1">
      <alignment horizontal="right" vertical="center" wrapText="1"/>
    </xf>
    <xf numFmtId="3" fontId="33" fillId="26" borderId="75" xfId="31" applyNumberFormat="1" applyFont="1" applyFill="1" applyBorder="1" applyAlignment="1">
      <alignment horizontal="center"/>
    </xf>
    <xf numFmtId="173" fontId="33" fillId="0" borderId="52" xfId="37" applyNumberFormat="1" applyFont="1" applyFill="1" applyBorder="1" applyAlignment="1" applyProtection="1">
      <alignment horizontal="center" vertical="center" wrapText="1"/>
    </xf>
    <xf numFmtId="173" fontId="35" fillId="0" borderId="52" xfId="37" applyNumberFormat="1" applyFont="1" applyFill="1" applyBorder="1" applyAlignment="1" applyProtection="1">
      <alignment horizontal="right" vertical="center" wrapText="1"/>
    </xf>
    <xf numFmtId="173" fontId="35" fillId="0" borderId="56" xfId="37" applyNumberFormat="1" applyFont="1" applyFill="1" applyBorder="1" applyAlignment="1" applyProtection="1">
      <alignment horizontal="right" vertical="center" wrapText="1"/>
    </xf>
    <xf numFmtId="0" fontId="34" fillId="0" borderId="60" xfId="49" applyFont="1" applyFill="1" applyBorder="1" applyAlignment="1" applyProtection="1">
      <alignment horizontal="left" vertical="center" wrapText="1"/>
    </xf>
    <xf numFmtId="0" fontId="33" fillId="0" borderId="74" xfId="49" applyFont="1" applyFill="1" applyBorder="1" applyAlignment="1" applyProtection="1">
      <alignment horizontal="left" vertical="center" wrapText="1"/>
    </xf>
    <xf numFmtId="0" fontId="33" fillId="0" borderId="62" xfId="49" applyFont="1" applyFill="1" applyBorder="1" applyAlignment="1" applyProtection="1">
      <alignment horizontal="left" vertical="center" wrapText="1"/>
    </xf>
    <xf numFmtId="1" fontId="34" fillId="0" borderId="32" xfId="21" applyNumberFormat="1" applyFont="1" applyFill="1" applyBorder="1">
      <alignment horizontal="center" vertical="center" wrapText="1"/>
    </xf>
    <xf numFmtId="173" fontId="33" fillId="0" borderId="32" xfId="21" applyNumberFormat="1" applyFont="1" applyFill="1" applyBorder="1">
      <alignment horizontal="center" vertical="center" wrapText="1"/>
    </xf>
    <xf numFmtId="3" fontId="34" fillId="0" borderId="32" xfId="21" applyNumberFormat="1" applyFont="1" applyFill="1" applyBorder="1">
      <alignment horizontal="center" vertical="center" wrapText="1"/>
    </xf>
    <xf numFmtId="173" fontId="33" fillId="0" borderId="75" xfId="21" applyNumberFormat="1" applyFont="1" applyFill="1" applyBorder="1">
      <alignment horizontal="center" vertical="center" wrapText="1"/>
    </xf>
    <xf numFmtId="1" fontId="34" fillId="0" borderId="52" xfId="21" applyNumberFormat="1" applyFont="1" applyFill="1" applyBorder="1">
      <alignment horizontal="center" vertical="center" wrapText="1"/>
    </xf>
    <xf numFmtId="173" fontId="33" fillId="0" borderId="52" xfId="21" applyNumberFormat="1" applyFont="1" applyFill="1" applyBorder="1">
      <alignment horizontal="center" vertical="center" wrapText="1"/>
    </xf>
    <xf numFmtId="3" fontId="34" fillId="0" borderId="52" xfId="21" applyNumberFormat="1" applyFont="1" applyFill="1" applyBorder="1">
      <alignment horizontal="center" vertical="center" wrapText="1"/>
    </xf>
    <xf numFmtId="173" fontId="33" fillId="0" borderId="74" xfId="21" applyNumberFormat="1" applyFont="1" applyFill="1" applyBorder="1">
      <alignment horizontal="center" vertical="center" wrapText="1"/>
    </xf>
    <xf numFmtId="1" fontId="34" fillId="0" borderId="62" xfId="21" applyNumberFormat="1" applyFont="1" applyFill="1" applyBorder="1">
      <alignment horizontal="center" vertical="center" wrapText="1"/>
    </xf>
    <xf numFmtId="173" fontId="33" fillId="0" borderId="62" xfId="21" applyNumberFormat="1" applyFont="1" applyFill="1" applyBorder="1">
      <alignment horizontal="center" vertical="center" wrapText="1"/>
    </xf>
    <xf numFmtId="3" fontId="34" fillId="0" borderId="62" xfId="21" applyNumberFormat="1" applyFont="1" applyFill="1" applyBorder="1">
      <alignment horizontal="center" vertical="center" wrapText="1"/>
    </xf>
    <xf numFmtId="3" fontId="34" fillId="32" borderId="1" xfId="49" applyNumberFormat="1" applyFont="1" applyFill="1" applyBorder="1" applyAlignment="1" applyProtection="1">
      <alignment horizontal="right"/>
      <protection locked="0"/>
    </xf>
    <xf numFmtId="3" fontId="34" fillId="32" borderId="8"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right"/>
      <protection locked="0"/>
    </xf>
    <xf numFmtId="0" fontId="34" fillId="0" borderId="33" xfId="31" applyFont="1" applyBorder="1" applyAlignment="1">
      <alignment horizontal="right" wrapText="1"/>
    </xf>
    <xf numFmtId="0" fontId="34" fillId="0" borderId="23" xfId="31" applyFont="1" applyBorder="1" applyAlignment="1">
      <alignment horizontal="right" wrapText="1"/>
    </xf>
    <xf numFmtId="0" fontId="34" fillId="0" borderId="28" xfId="31" applyFont="1" applyBorder="1" applyAlignment="1">
      <alignment horizontal="right" wrapText="1"/>
    </xf>
    <xf numFmtId="3" fontId="38" fillId="0" borderId="7" xfId="32" applyNumberFormat="1" applyFont="1" applyFill="1" applyBorder="1" applyAlignment="1">
      <alignment horizontal="right" vertical="center" wrapText="1"/>
    </xf>
    <xf numFmtId="167" fontId="38" fillId="0" borderId="52" xfId="32" applyNumberFormat="1" applyFont="1" applyFill="1" applyBorder="1" applyAlignment="1" applyProtection="1">
      <alignment horizontal="right" vertical="center"/>
      <protection locked="0"/>
    </xf>
    <xf numFmtId="3" fontId="38" fillId="0" borderId="52" xfId="32" applyNumberFormat="1" applyFont="1" applyFill="1" applyBorder="1" applyAlignment="1">
      <alignment horizontal="right" vertical="center" wrapText="1"/>
    </xf>
    <xf numFmtId="3" fontId="38" fillId="0" borderId="53" xfId="32" applyNumberFormat="1" applyFont="1" applyFill="1" applyBorder="1" applyAlignment="1">
      <alignment horizontal="right" vertical="center" wrapText="1"/>
    </xf>
    <xf numFmtId="0" fontId="40" fillId="22" borderId="38" xfId="32" applyFont="1" applyFill="1" applyBorder="1" applyAlignment="1" applyProtection="1">
      <alignment horizontal="center" vertical="center" wrapText="1"/>
    </xf>
    <xf numFmtId="0" fontId="40" fillId="22" borderId="8" xfId="32" applyFont="1" applyFill="1" applyBorder="1" applyAlignment="1" applyProtection="1">
      <alignment vertical="center" wrapText="1"/>
    </xf>
    <xf numFmtId="167" fontId="40" fillId="22" borderId="38" xfId="48" applyNumberFormat="1" applyFont="1" applyFill="1" applyBorder="1" applyAlignment="1" applyProtection="1">
      <alignment horizontal="right" vertical="center"/>
    </xf>
    <xf numFmtId="167" fontId="40" fillId="22" borderId="9" xfId="48" applyNumberFormat="1" applyFont="1" applyFill="1" applyBorder="1" applyAlignment="1" applyProtection="1">
      <alignment horizontal="right" vertical="center"/>
    </xf>
    <xf numFmtId="167" fontId="40" fillId="22" borderId="10" xfId="48" applyNumberFormat="1" applyFont="1" applyFill="1" applyBorder="1" applyAlignment="1" applyProtection="1">
      <alignment horizontal="right" vertical="center"/>
    </xf>
    <xf numFmtId="0" fontId="4" fillId="21" borderId="0" xfId="0" applyFont="1" applyFill="1" applyBorder="1" applyAlignment="1">
      <alignment horizontal="center" vertical="center" wrapText="1"/>
    </xf>
    <xf numFmtId="0" fontId="13" fillId="21" borderId="0" xfId="0" applyFont="1" applyFill="1" applyBorder="1" applyAlignment="1">
      <alignment horizontal="center" vertical="center"/>
    </xf>
    <xf numFmtId="170" fontId="33" fillId="40" borderId="70" xfId="49" applyNumberFormat="1" applyFont="1" applyFill="1" applyBorder="1" applyAlignment="1" applyProtection="1">
      <alignment horizontal="center" wrapText="1"/>
    </xf>
    <xf numFmtId="0" fontId="4" fillId="0" borderId="54" xfId="0" applyFont="1" applyBorder="1" applyAlignment="1">
      <alignment horizontal="center"/>
    </xf>
    <xf numFmtId="0" fontId="34" fillId="0" borderId="14" xfId="31" applyFont="1" applyBorder="1" applyAlignment="1">
      <alignment horizontal="right" wrapText="1"/>
    </xf>
    <xf numFmtId="0" fontId="4" fillId="3" borderId="31"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4" fillId="0" borderId="69" xfId="0" applyFont="1" applyFill="1" applyBorder="1" applyAlignment="1">
      <alignment vertical="center" wrapText="1"/>
    </xf>
    <xf numFmtId="0" fontId="4" fillId="0" borderId="55" xfId="0" applyFont="1" applyBorder="1" applyAlignment="1">
      <alignment vertical="center" wrapText="1"/>
    </xf>
    <xf numFmtId="0" fontId="4" fillId="0" borderId="39" xfId="2" applyFont="1" applyBorder="1" applyAlignment="1" applyProtection="1">
      <alignment horizontal="center" vertical="center"/>
    </xf>
    <xf numFmtId="0" fontId="4" fillId="3" borderId="18"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63"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4" fillId="29" borderId="7" xfId="0" applyFont="1" applyFill="1" applyBorder="1" applyAlignment="1" applyProtection="1">
      <alignment horizontal="center" vertical="center" wrapText="1"/>
      <protection locked="0"/>
    </xf>
    <xf numFmtId="0" fontId="4" fillId="0" borderId="75" xfId="0" applyFont="1" applyBorder="1" applyAlignment="1">
      <alignment vertical="center"/>
    </xf>
    <xf numFmtId="0" fontId="4" fillId="0" borderId="52" xfId="0" applyFont="1" applyBorder="1" applyAlignment="1">
      <alignment vertical="center"/>
    </xf>
    <xf numFmtId="0" fontId="13" fillId="0" borderId="52" xfId="0" applyFont="1" applyFill="1" applyBorder="1" applyAlignment="1">
      <alignment vertical="center" wrapText="1"/>
    </xf>
    <xf numFmtId="0" fontId="13" fillId="0" borderId="53" xfId="0" applyFont="1" applyBorder="1" applyAlignment="1">
      <alignment vertical="center" wrapText="1"/>
    </xf>
    <xf numFmtId="0" fontId="4" fillId="0" borderId="52" xfId="0" applyFont="1" applyFill="1" applyBorder="1" applyAlignment="1">
      <alignment vertical="center" wrapText="1"/>
    </xf>
    <xf numFmtId="0" fontId="4" fillId="0" borderId="56" xfId="0" applyFont="1" applyBorder="1" applyAlignment="1">
      <alignment vertical="center"/>
    </xf>
    <xf numFmtId="0" fontId="13" fillId="0" borderId="17" xfId="2" applyFont="1" applyBorder="1" applyAlignment="1" applyProtection="1">
      <alignment horizontal="center" vertical="center"/>
    </xf>
    <xf numFmtId="0" fontId="4" fillId="29" borderId="17"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0" fontId="4" fillId="3" borderId="62" xfId="0" applyFont="1" applyFill="1" applyBorder="1" applyAlignment="1" applyProtection="1">
      <alignment horizontal="center" vertical="center" wrapText="1"/>
      <protection locked="0"/>
    </xf>
    <xf numFmtId="0" fontId="4" fillId="29" borderId="62"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29" borderId="15" xfId="0" applyFont="1" applyFill="1" applyBorder="1" applyAlignment="1" applyProtection="1">
      <alignment horizontal="center" vertical="center" wrapText="1"/>
      <protection locked="0"/>
    </xf>
    <xf numFmtId="3" fontId="34" fillId="29" borderId="17" xfId="32" applyNumberFormat="1" applyFont="1" applyFill="1" applyBorder="1" applyAlignment="1">
      <alignment horizontal="center" vertical="center" wrapText="1"/>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49" fontId="66" fillId="21" borderId="34" xfId="32" applyNumberFormat="1" applyFont="1" applyFill="1" applyBorder="1" applyAlignment="1" applyProtection="1">
      <alignment horizontal="left" vertical="center"/>
    </xf>
    <xf numFmtId="0" fontId="128" fillId="0" borderId="0" xfId="2" applyFont="1" applyAlignment="1" applyProtection="1"/>
    <xf numFmtId="0" fontId="128" fillId="0" borderId="23" xfId="2" applyNumberFormat="1" applyFont="1" applyFill="1" applyBorder="1" applyAlignment="1" applyProtection="1">
      <alignment horizontal="left" vertical="center"/>
      <protection locked="0"/>
    </xf>
    <xf numFmtId="0" fontId="4" fillId="0" borderId="44" xfId="0" applyFont="1" applyFill="1" applyBorder="1" applyAlignment="1">
      <alignment vertical="center"/>
    </xf>
    <xf numFmtId="0" fontId="4" fillId="0" borderId="50" xfId="0" applyFont="1" applyFill="1" applyBorder="1" applyAlignment="1">
      <alignment vertical="center" wrapText="1"/>
    </xf>
    <xf numFmtId="3" fontId="35" fillId="0" borderId="52" xfId="32" applyNumberFormat="1" applyFont="1" applyFill="1" applyBorder="1" applyAlignment="1">
      <alignment horizontal="center" vertical="center"/>
    </xf>
    <xf numFmtId="3" fontId="35" fillId="0" borderId="53" xfId="32" applyNumberFormat="1" applyFont="1" applyFill="1" applyBorder="1" applyAlignment="1">
      <alignment horizontal="center" vertical="center"/>
    </xf>
    <xf numFmtId="3" fontId="34" fillId="0" borderId="32" xfId="32" applyNumberFormat="1" applyFont="1" applyFill="1" applyBorder="1" applyAlignment="1">
      <alignment horizontal="center" vertical="center"/>
    </xf>
    <xf numFmtId="3" fontId="34" fillId="0" borderId="7" xfId="32" applyNumberFormat="1" applyFont="1" applyFill="1" applyBorder="1" applyAlignment="1">
      <alignment horizontal="center" vertical="center"/>
    </xf>
    <xf numFmtId="3" fontId="34" fillId="0" borderId="62" xfId="32" applyNumberFormat="1" applyFont="1" applyFill="1" applyBorder="1" applyAlignment="1">
      <alignment horizontal="center" vertical="center"/>
    </xf>
    <xf numFmtId="0" fontId="65" fillId="29" borderId="0" xfId="0" applyFont="1" applyFill="1"/>
    <xf numFmtId="3" fontId="60" fillId="29" borderId="35" xfId="32" applyNumberFormat="1" applyFont="1" applyFill="1" applyBorder="1" applyAlignment="1">
      <alignment horizontal="center" vertical="center"/>
    </xf>
    <xf numFmtId="0" fontId="116" fillId="30" borderId="0" xfId="32" applyFont="1" applyFill="1"/>
    <xf numFmtId="0" fontId="129" fillId="30" borderId="0" xfId="32" applyFont="1" applyFill="1"/>
    <xf numFmtId="0" fontId="130" fillId="30" borderId="0" xfId="32" applyFont="1" applyFill="1"/>
    <xf numFmtId="3" fontId="35" fillId="30" borderId="53" xfId="32" applyNumberFormat="1" applyFont="1" applyFill="1" applyBorder="1" applyAlignment="1">
      <alignment horizontal="center"/>
    </xf>
    <xf numFmtId="3" fontId="35" fillId="30" borderId="57" xfId="32" applyNumberFormat="1" applyFont="1" applyFill="1" applyBorder="1" applyAlignment="1">
      <alignment horizontal="center"/>
    </xf>
    <xf numFmtId="3" fontId="33" fillId="34" borderId="75" xfId="0" applyNumberFormat="1" applyFont="1" applyFill="1" applyBorder="1" applyAlignment="1">
      <alignment horizontal="center" vertical="center"/>
    </xf>
    <xf numFmtId="3" fontId="34" fillId="30" borderId="49" xfId="32" applyNumberFormat="1" applyFont="1" applyFill="1" applyBorder="1" applyAlignment="1">
      <alignment horizontal="center"/>
    </xf>
    <xf numFmtId="3" fontId="34" fillId="30" borderId="52" xfId="32" applyNumberFormat="1" applyFont="1" applyFill="1" applyBorder="1" applyAlignment="1">
      <alignment horizontal="center"/>
    </xf>
    <xf numFmtId="3" fontId="34" fillId="30" borderId="47" xfId="32" applyNumberFormat="1" applyFont="1" applyFill="1" applyBorder="1" applyAlignment="1">
      <alignment horizontal="center"/>
    </xf>
    <xf numFmtId="3" fontId="34" fillId="30" borderId="56" xfId="32" applyNumberFormat="1" applyFont="1" applyFill="1" applyBorder="1" applyAlignment="1">
      <alignment horizontal="center"/>
    </xf>
    <xf numFmtId="3" fontId="33" fillId="34" borderId="72" xfId="0" applyNumberFormat="1" applyFont="1" applyFill="1" applyBorder="1" applyAlignment="1">
      <alignment horizontal="center" vertical="center"/>
    </xf>
    <xf numFmtId="3" fontId="4" fillId="30" borderId="32" xfId="32" applyNumberFormat="1" applyFont="1" applyFill="1" applyBorder="1" applyAlignment="1">
      <alignment horizontal="center"/>
    </xf>
    <xf numFmtId="3" fontId="4" fillId="30" borderId="7" xfId="32" applyNumberFormat="1" applyFont="1" applyFill="1" applyBorder="1" applyAlignment="1">
      <alignment horizontal="center"/>
    </xf>
    <xf numFmtId="3" fontId="4" fillId="30" borderId="53" xfId="32" applyNumberFormat="1" applyFont="1" applyFill="1" applyBorder="1" applyAlignment="1">
      <alignment horizontal="center"/>
    </xf>
    <xf numFmtId="3" fontId="4" fillId="30" borderId="52" xfId="32" applyNumberFormat="1" applyFont="1" applyFill="1" applyBorder="1" applyAlignment="1">
      <alignment horizontal="center"/>
    </xf>
    <xf numFmtId="3" fontId="4" fillId="30" borderId="62" xfId="32" applyNumberFormat="1" applyFont="1" applyFill="1" applyBorder="1" applyAlignment="1">
      <alignment horizontal="center"/>
    </xf>
    <xf numFmtId="3" fontId="4" fillId="30" borderId="69" xfId="32" applyNumberFormat="1" applyFont="1" applyFill="1" applyBorder="1" applyAlignment="1">
      <alignment horizontal="center"/>
    </xf>
    <xf numFmtId="3" fontId="4" fillId="30" borderId="63" xfId="32" applyNumberFormat="1" applyFont="1" applyFill="1" applyBorder="1" applyAlignment="1">
      <alignment horizontal="center"/>
    </xf>
    <xf numFmtId="3" fontId="4" fillId="30" borderId="55" xfId="32" applyNumberFormat="1" applyFont="1" applyFill="1" applyBorder="1" applyAlignment="1">
      <alignment horizontal="center"/>
    </xf>
    <xf numFmtId="3" fontId="4" fillId="30" borderId="54" xfId="32" applyNumberFormat="1" applyFont="1" applyFill="1" applyBorder="1" applyAlignment="1">
      <alignment horizontal="center"/>
    </xf>
    <xf numFmtId="3" fontId="4" fillId="30" borderId="64" xfId="32" applyNumberFormat="1" applyFont="1" applyFill="1" applyBorder="1" applyAlignment="1">
      <alignment horizontal="center"/>
    </xf>
    <xf numFmtId="3" fontId="4" fillId="30" borderId="79" xfId="32" applyNumberFormat="1" applyFont="1" applyFill="1" applyBorder="1" applyAlignment="1">
      <alignment horizontal="center"/>
    </xf>
    <xf numFmtId="3" fontId="4" fillId="30" borderId="77" xfId="32" applyNumberFormat="1" applyFont="1" applyFill="1" applyBorder="1" applyAlignment="1">
      <alignment horizontal="center"/>
    </xf>
    <xf numFmtId="3" fontId="4" fillId="30" borderId="57" xfId="32" applyNumberFormat="1" applyFont="1" applyFill="1" applyBorder="1" applyAlignment="1">
      <alignment horizontal="center"/>
    </xf>
    <xf numFmtId="3" fontId="4" fillId="30" borderId="56" xfId="32" applyNumberFormat="1" applyFont="1" applyFill="1" applyBorder="1" applyAlignment="1">
      <alignment horizontal="center"/>
    </xf>
    <xf numFmtId="3" fontId="4" fillId="30" borderId="78" xfId="32" applyNumberFormat="1" applyFont="1" applyFill="1" applyBorder="1" applyAlignment="1">
      <alignment horizontal="center"/>
    </xf>
    <xf numFmtId="3" fontId="33" fillId="34" borderId="72" xfId="32" applyNumberFormat="1" applyFont="1" applyFill="1" applyBorder="1" applyAlignment="1">
      <alignment horizontal="center" vertical="center"/>
    </xf>
    <xf numFmtId="3" fontId="34" fillId="30" borderId="32" xfId="32" applyNumberFormat="1" applyFont="1" applyFill="1" applyBorder="1" applyAlignment="1">
      <alignment horizontal="center"/>
    </xf>
    <xf numFmtId="3" fontId="34" fillId="30" borderId="69" xfId="32" applyNumberFormat="1" applyFont="1" applyFill="1" applyBorder="1" applyAlignment="1">
      <alignment horizontal="center"/>
    </xf>
    <xf numFmtId="9" fontId="34" fillId="30" borderId="72" xfId="1" applyFont="1" applyFill="1" applyBorder="1" applyAlignment="1">
      <alignment horizontal="center"/>
    </xf>
    <xf numFmtId="9" fontId="34" fillId="30" borderId="32" xfId="1" applyFont="1" applyFill="1" applyBorder="1" applyAlignment="1">
      <alignment horizontal="center"/>
    </xf>
    <xf numFmtId="9" fontId="34" fillId="30" borderId="79" xfId="1" applyFont="1" applyFill="1" applyBorder="1" applyAlignment="1">
      <alignment horizontal="center"/>
    </xf>
    <xf numFmtId="3" fontId="39" fillId="34" borderId="76" xfId="32" applyNumberFormat="1" applyFont="1" applyFill="1" applyBorder="1" applyAlignment="1">
      <alignment horizontal="center" vertical="center"/>
    </xf>
    <xf numFmtId="3" fontId="35" fillId="30" borderId="55" xfId="32" applyNumberFormat="1" applyFont="1" applyFill="1" applyBorder="1" applyAlignment="1">
      <alignment horizontal="center"/>
    </xf>
    <xf numFmtId="9" fontId="35" fillId="30" borderId="76" xfId="1" applyFont="1" applyFill="1" applyBorder="1" applyAlignment="1">
      <alignment horizontal="center"/>
    </xf>
    <xf numFmtId="9" fontId="35" fillId="30" borderId="53" xfId="1" applyFont="1" applyFill="1" applyBorder="1" applyAlignment="1">
      <alignment horizontal="center"/>
    </xf>
    <xf numFmtId="9" fontId="35" fillId="30" borderId="57" xfId="1" applyFont="1" applyFill="1" applyBorder="1" applyAlignment="1">
      <alignment horizontal="center"/>
    </xf>
    <xf numFmtId="3" fontId="34" fillId="30" borderId="61" xfId="32" applyNumberFormat="1" applyFont="1" applyFill="1" applyBorder="1" applyAlignment="1">
      <alignment horizontal="center"/>
    </xf>
    <xf numFmtId="3" fontId="34" fillId="30" borderId="110" xfId="32" applyNumberFormat="1" applyFont="1" applyFill="1" applyBorder="1" applyAlignment="1">
      <alignment horizontal="center"/>
    </xf>
    <xf numFmtId="3" fontId="34" fillId="30" borderId="70" xfId="32" applyNumberFormat="1" applyFont="1" applyFill="1" applyBorder="1" applyAlignment="1">
      <alignment horizontal="center"/>
    </xf>
    <xf numFmtId="3" fontId="34" fillId="30" borderId="79" xfId="32" applyNumberFormat="1" applyFont="1" applyFill="1" applyBorder="1" applyAlignment="1">
      <alignment horizontal="center"/>
    </xf>
    <xf numFmtId="3" fontId="35" fillId="30" borderId="44" xfId="32" applyNumberFormat="1" applyFont="1" applyFill="1" applyBorder="1" applyAlignment="1">
      <alignment horizontal="center"/>
    </xf>
    <xf numFmtId="3" fontId="35" fillId="30" borderId="79" xfId="32" applyNumberFormat="1" applyFont="1" applyFill="1" applyBorder="1" applyAlignment="1">
      <alignment horizontal="center"/>
    </xf>
    <xf numFmtId="3" fontId="35" fillId="30" borderId="50" xfId="32" applyNumberFormat="1" applyFont="1" applyFill="1" applyBorder="1" applyAlignment="1">
      <alignment horizontal="center"/>
    </xf>
    <xf numFmtId="3" fontId="35" fillId="30" borderId="48" xfId="32" applyNumberFormat="1" applyFont="1" applyFill="1" applyBorder="1" applyAlignment="1">
      <alignment horizontal="center"/>
    </xf>
    <xf numFmtId="3" fontId="35" fillId="30" borderId="70" xfId="32" applyNumberFormat="1" applyFont="1" applyFill="1" applyBorder="1" applyAlignment="1">
      <alignment horizontal="center"/>
    </xf>
    <xf numFmtId="3" fontId="33" fillId="30" borderId="36" xfId="32" applyNumberFormat="1" applyFont="1" applyFill="1" applyBorder="1" applyAlignment="1">
      <alignment horizontal="center" vertical="center"/>
    </xf>
    <xf numFmtId="3" fontId="33" fillId="34" borderId="29" xfId="32" applyNumberFormat="1" applyFont="1" applyFill="1" applyBorder="1" applyAlignment="1">
      <alignment horizontal="center" vertical="center"/>
    </xf>
    <xf numFmtId="3" fontId="33" fillId="30" borderId="30" xfId="32" applyNumberFormat="1" applyFont="1" applyFill="1" applyBorder="1" applyAlignment="1">
      <alignment horizontal="center" vertical="center"/>
    </xf>
    <xf numFmtId="3" fontId="34" fillId="0" borderId="25" xfId="49" applyNumberFormat="1" applyFont="1" applyFill="1" applyBorder="1" applyAlignment="1">
      <alignment horizontal="center" vertical="center" wrapText="1"/>
    </xf>
    <xf numFmtId="3" fontId="35" fillId="30" borderId="17" xfId="32" applyNumberFormat="1" applyFont="1" applyFill="1" applyBorder="1" applyAlignment="1">
      <alignment horizontal="left" vertical="center" wrapText="1"/>
    </xf>
    <xf numFmtId="3" fontId="35" fillId="0" borderId="17" xfId="32" applyNumberFormat="1" applyFont="1" applyFill="1" applyBorder="1" applyAlignment="1">
      <alignment horizontal="left" vertical="center" wrapText="1"/>
    </xf>
    <xf numFmtId="3" fontId="35" fillId="30" borderId="21" xfId="32" applyNumberFormat="1" applyFont="1" applyFill="1" applyBorder="1" applyAlignment="1">
      <alignment horizontal="left" vertical="center" wrapText="1"/>
    </xf>
    <xf numFmtId="3" fontId="34" fillId="0" borderId="72" xfId="49" applyNumberFormat="1" applyFont="1" applyFill="1" applyBorder="1" applyAlignment="1">
      <alignment horizontal="center" vertical="center" wrapText="1"/>
    </xf>
    <xf numFmtId="164" fontId="38" fillId="0" borderId="0" xfId="55" applyFont="1" applyAlignment="1" applyProtection="1">
      <alignment vertical="center"/>
    </xf>
    <xf numFmtId="10" fontId="40" fillId="22" borderId="53" xfId="41" applyNumberFormat="1" applyFont="1" applyFill="1" applyBorder="1" applyAlignment="1" applyProtection="1">
      <alignment horizontal="center" vertical="center"/>
    </xf>
    <xf numFmtId="168" fontId="34" fillId="30" borderId="15" xfId="49" applyNumberFormat="1" applyFont="1" applyFill="1" applyBorder="1" applyAlignment="1" applyProtection="1">
      <alignment horizontal="center" vertical="center" wrapText="1"/>
    </xf>
    <xf numFmtId="0" fontId="35" fillId="30" borderId="53" xfId="49" applyFont="1" applyFill="1" applyBorder="1" applyAlignment="1" applyProtection="1">
      <alignment horizontal="left" vertical="center" wrapText="1" indent="1"/>
    </xf>
    <xf numFmtId="0" fontId="34" fillId="0" borderId="53" xfId="49" applyFont="1" applyFill="1" applyBorder="1" applyAlignment="1" applyProtection="1">
      <alignment horizontal="left" vertical="center" wrapText="1"/>
    </xf>
    <xf numFmtId="0" fontId="34" fillId="30" borderId="53" xfId="49" applyFont="1" applyFill="1" applyBorder="1" applyAlignment="1" applyProtection="1">
      <alignment horizontal="left" vertical="center" wrapText="1"/>
    </xf>
    <xf numFmtId="0" fontId="34" fillId="30" borderId="76" xfId="49" applyFont="1" applyFill="1" applyBorder="1" applyAlignment="1" applyProtection="1">
      <alignment horizontal="left" vertical="center" wrapText="1"/>
    </xf>
    <xf numFmtId="0" fontId="34" fillId="0" borderId="76" xfId="49" applyFont="1" applyFill="1" applyBorder="1" applyAlignment="1" applyProtection="1">
      <alignment horizontal="left" vertical="center" wrapText="1"/>
    </xf>
    <xf numFmtId="0" fontId="34" fillId="30" borderId="57" xfId="49" applyFont="1" applyFill="1" applyBorder="1" applyAlignment="1" applyProtection="1">
      <alignment horizontal="left" vertical="center" wrapText="1"/>
    </xf>
    <xf numFmtId="0" fontId="34" fillId="0" borderId="50" xfId="49" applyFont="1" applyFill="1" applyBorder="1" applyAlignment="1" applyProtection="1">
      <alignment horizontal="left" vertical="center" wrapText="1"/>
    </xf>
    <xf numFmtId="0" fontId="34" fillId="30" borderId="48" xfId="31" applyFont="1" applyFill="1" applyBorder="1" applyAlignment="1" applyProtection="1">
      <alignment horizontal="left" vertical="center" wrapText="1"/>
    </xf>
    <xf numFmtId="0" fontId="38" fillId="0" borderId="0" xfId="40" applyFont="1" applyBorder="1" applyAlignment="1" applyProtection="1">
      <alignment wrapText="1"/>
    </xf>
    <xf numFmtId="168" fontId="85" fillId="3" borderId="7" xfId="49" applyNumberFormat="1" applyFont="1" applyFill="1" applyBorder="1" applyAlignment="1" applyProtection="1">
      <alignment horizontal="center" vertical="center" wrapText="1"/>
      <protection locked="0"/>
    </xf>
    <xf numFmtId="176" fontId="38" fillId="0" borderId="0" xfId="55" applyNumberFormat="1" applyFont="1" applyAlignment="1" applyProtection="1">
      <alignment vertical="center"/>
    </xf>
    <xf numFmtId="9" fontId="33" fillId="30" borderId="29" xfId="1" applyFont="1" applyFill="1" applyBorder="1" applyAlignment="1">
      <alignment horizontal="center" vertical="center"/>
    </xf>
    <xf numFmtId="9" fontId="33" fillId="30" borderId="24" xfId="1" applyFont="1" applyFill="1" applyBorder="1" applyAlignment="1">
      <alignment horizontal="center" vertical="center"/>
    </xf>
    <xf numFmtId="9" fontId="33" fillId="30" borderId="30" xfId="1" applyFont="1" applyFill="1" applyBorder="1" applyAlignment="1">
      <alignment horizontal="center" vertical="center"/>
    </xf>
    <xf numFmtId="3" fontId="4" fillId="0" borderId="52" xfId="32" applyNumberFormat="1" applyFont="1" applyFill="1" applyBorder="1" applyAlignment="1">
      <alignment horizontal="center"/>
    </xf>
    <xf numFmtId="3" fontId="4" fillId="0" borderId="54" xfId="32" applyNumberFormat="1" applyFont="1" applyFill="1" applyBorder="1" applyAlignment="1">
      <alignment horizontal="center"/>
    </xf>
    <xf numFmtId="0" fontId="34" fillId="0" borderId="21" xfId="49" applyFont="1" applyFill="1" applyBorder="1" applyAlignment="1">
      <alignment horizontal="center" vertical="center"/>
    </xf>
    <xf numFmtId="49" fontId="33" fillId="21" borderId="52" xfId="32" applyNumberFormat="1" applyFont="1" applyFill="1" applyBorder="1" applyAlignment="1" applyProtection="1">
      <alignment horizontal="center" vertical="center" wrapText="1"/>
    </xf>
    <xf numFmtId="0" fontId="33" fillId="0" borderId="23" xfId="32" applyFont="1" applyFill="1" applyBorder="1" applyAlignment="1" applyProtection="1">
      <alignment vertical="center" wrapText="1"/>
    </xf>
    <xf numFmtId="167" fontId="33" fillId="21" borderId="52" xfId="32" applyNumberFormat="1" applyFont="1" applyFill="1" applyBorder="1" applyAlignment="1" applyProtection="1">
      <alignment horizontal="right" vertical="center"/>
      <protection locked="0"/>
    </xf>
    <xf numFmtId="167" fontId="33" fillId="21" borderId="7" xfId="32" applyNumberFormat="1" applyFont="1" applyFill="1" applyBorder="1" applyAlignment="1" applyProtection="1">
      <alignment horizontal="right" vertical="center"/>
      <protection locked="0"/>
    </xf>
    <xf numFmtId="167" fontId="33" fillId="21" borderId="53" xfId="32" applyNumberFormat="1" applyFont="1" applyFill="1" applyBorder="1" applyAlignment="1" applyProtection="1">
      <alignment horizontal="right" vertical="center"/>
      <protection locked="0"/>
    </xf>
    <xf numFmtId="0" fontId="33" fillId="0" borderId="0" xfId="32" applyFont="1" applyAlignment="1" applyProtection="1">
      <alignment vertical="center"/>
    </xf>
    <xf numFmtId="49" fontId="33" fillId="0" borderId="52" xfId="32" applyNumberFormat="1" applyFont="1" applyFill="1" applyBorder="1" applyAlignment="1" applyProtection="1">
      <alignment horizontal="center" vertical="center" wrapText="1"/>
    </xf>
    <xf numFmtId="167" fontId="33" fillId="0" borderId="52" xfId="32" applyNumberFormat="1" applyFont="1" applyFill="1" applyBorder="1" applyAlignment="1" applyProtection="1">
      <alignment horizontal="right" vertical="center"/>
      <protection locked="0"/>
    </xf>
    <xf numFmtId="167" fontId="33" fillId="0" borderId="7" xfId="32" applyNumberFormat="1" applyFont="1" applyFill="1" applyBorder="1" applyAlignment="1" applyProtection="1">
      <alignment horizontal="right" vertical="center"/>
      <protection locked="0"/>
    </xf>
    <xf numFmtId="167" fontId="33" fillId="0" borderId="53" xfId="32" applyNumberFormat="1" applyFont="1" applyFill="1" applyBorder="1" applyAlignment="1" applyProtection="1">
      <alignment horizontal="right" vertical="center"/>
      <protection locked="0"/>
    </xf>
    <xf numFmtId="49" fontId="33" fillId="21" borderId="49" xfId="32" applyNumberFormat="1" applyFont="1" applyFill="1" applyBorder="1" applyAlignment="1" applyProtection="1">
      <alignment horizontal="center" vertical="center" wrapText="1"/>
    </xf>
    <xf numFmtId="0" fontId="33" fillId="0" borderId="33" xfId="32" applyFont="1" applyFill="1" applyBorder="1" applyAlignment="1" applyProtection="1">
      <alignment vertical="center" wrapText="1"/>
    </xf>
    <xf numFmtId="167" fontId="33" fillId="21" borderId="49" xfId="32" applyNumberFormat="1" applyFont="1" applyFill="1" applyBorder="1" applyAlignment="1" applyProtection="1">
      <alignment horizontal="right" vertical="center"/>
      <protection locked="0"/>
    </xf>
    <xf numFmtId="167" fontId="33" fillId="21" borderId="31" xfId="32" applyNumberFormat="1" applyFont="1" applyFill="1" applyBorder="1" applyAlignment="1" applyProtection="1">
      <alignment horizontal="right" vertical="center"/>
      <protection locked="0"/>
    </xf>
    <xf numFmtId="167" fontId="33" fillId="21" borderId="50" xfId="32" applyNumberFormat="1" applyFont="1" applyFill="1" applyBorder="1" applyAlignment="1" applyProtection="1">
      <alignment horizontal="right" vertical="center"/>
      <protection locked="0"/>
    </xf>
    <xf numFmtId="49" fontId="33" fillId="0" borderId="52" xfId="32" applyNumberFormat="1" applyFont="1" applyBorder="1" applyAlignment="1" applyProtection="1">
      <alignment horizontal="center" vertical="center" wrapText="1"/>
    </xf>
    <xf numFmtId="3" fontId="33" fillId="0" borderId="106" xfId="32" applyNumberFormat="1" applyFont="1" applyFill="1" applyBorder="1" applyAlignment="1">
      <alignment horizontal="right" vertical="center" wrapText="1"/>
    </xf>
    <xf numFmtId="3" fontId="33" fillId="0" borderId="7" xfId="32" applyNumberFormat="1" applyFont="1" applyFill="1" applyBorder="1" applyAlignment="1">
      <alignment horizontal="right" vertical="center" wrapText="1"/>
    </xf>
    <xf numFmtId="3" fontId="33" fillId="0" borderId="53" xfId="32" applyNumberFormat="1" applyFont="1" applyFill="1" applyBorder="1" applyAlignment="1">
      <alignment horizontal="right" vertical="center" wrapText="1"/>
    </xf>
    <xf numFmtId="0" fontId="33" fillId="0" borderId="54" xfId="32" applyFont="1" applyBorder="1" applyAlignment="1" applyProtection="1">
      <alignment horizontal="center" vertical="center"/>
    </xf>
    <xf numFmtId="0" fontId="33" fillId="0" borderId="37" xfId="32" applyFont="1" applyFill="1" applyBorder="1" applyAlignment="1" applyProtection="1">
      <alignment vertical="center" wrapText="1"/>
    </xf>
    <xf numFmtId="167" fontId="33" fillId="21" borderId="54" xfId="32" applyNumberFormat="1" applyFont="1" applyFill="1" applyBorder="1" applyAlignment="1" applyProtection="1">
      <alignment horizontal="right" vertical="center"/>
      <protection locked="0"/>
    </xf>
    <xf numFmtId="167" fontId="33" fillId="21" borderId="63" xfId="32" applyNumberFormat="1" applyFont="1" applyFill="1" applyBorder="1" applyAlignment="1" applyProtection="1">
      <alignment horizontal="right" vertical="center"/>
      <protection locked="0"/>
    </xf>
    <xf numFmtId="167" fontId="33"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1" fillId="29" borderId="0" xfId="0" applyFont="1" applyFill="1" applyBorder="1" applyAlignment="1" applyProtection="1">
      <alignment vertical="center" wrapText="1"/>
    </xf>
    <xf numFmtId="0" fontId="11" fillId="29" borderId="0" xfId="0" applyFont="1" applyFill="1" applyBorder="1" applyAlignment="1" applyProtection="1">
      <alignment horizontal="center" vertical="center" wrapText="1"/>
    </xf>
    <xf numFmtId="170" fontId="33" fillId="40" borderId="7" xfId="0" applyNumberFormat="1" applyFont="1" applyFill="1" applyBorder="1" applyAlignment="1" applyProtection="1">
      <alignment horizontal="center" vertical="center" wrapText="1"/>
    </xf>
    <xf numFmtId="3" fontId="34"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4"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3"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4" fillId="29" borderId="0" xfId="0" applyNumberFormat="1" applyFont="1" applyFill="1" applyBorder="1" applyAlignment="1">
      <alignment vertical="center"/>
    </xf>
    <xf numFmtId="14" fontId="33" fillId="29" borderId="0" xfId="0" applyNumberFormat="1" applyFont="1" applyFill="1" applyBorder="1" applyAlignment="1">
      <alignment vertical="center"/>
    </xf>
    <xf numFmtId="0" fontId="34" fillId="29" borderId="0" xfId="0" applyFont="1" applyFill="1" applyBorder="1" applyAlignment="1">
      <alignment horizontal="center" vertical="center"/>
    </xf>
    <xf numFmtId="0" fontId="34" fillId="29" borderId="0" xfId="0" applyFont="1" applyFill="1" applyBorder="1" applyAlignment="1">
      <alignment vertical="center"/>
    </xf>
    <xf numFmtId="0" fontId="34" fillId="29" borderId="0" xfId="0" applyNumberFormat="1" applyFont="1" applyFill="1" applyBorder="1" applyAlignment="1">
      <alignment vertical="center"/>
    </xf>
    <xf numFmtId="0" fontId="34" fillId="29" borderId="0" xfId="0" applyNumberFormat="1" applyFont="1" applyFill="1" applyBorder="1" applyAlignment="1">
      <alignment horizontal="center" vertical="center"/>
    </xf>
    <xf numFmtId="0" fontId="33" fillId="29" borderId="0" xfId="0" applyNumberFormat="1" applyFont="1" applyFill="1" applyBorder="1" applyAlignment="1">
      <alignment horizontal="center" vertical="center"/>
    </xf>
    <xf numFmtId="49" fontId="34" fillId="29" borderId="0" xfId="0" applyNumberFormat="1" applyFont="1" applyFill="1" applyBorder="1" applyAlignment="1">
      <alignment horizontal="center" vertical="center"/>
    </xf>
    <xf numFmtId="0" fontId="35" fillId="29" borderId="0" xfId="0" applyNumberFormat="1" applyFont="1" applyFill="1" applyBorder="1" applyAlignment="1">
      <alignment horizontal="center" vertical="center"/>
    </xf>
    <xf numFmtId="0" fontId="34" fillId="30" borderId="0" xfId="0" applyFont="1" applyFill="1" applyAlignment="1">
      <alignment horizontal="center" vertical="center"/>
    </xf>
    <xf numFmtId="0" fontId="35" fillId="30" borderId="0" xfId="31" applyFont="1" applyFill="1" applyBorder="1" applyAlignment="1">
      <alignment horizontal="center" vertical="center"/>
    </xf>
    <xf numFmtId="0" fontId="33" fillId="30" borderId="0" xfId="0" applyFont="1" applyFill="1" applyAlignment="1">
      <alignment horizontal="center" vertical="center"/>
    </xf>
    <xf numFmtId="0" fontId="33" fillId="30" borderId="0" xfId="0" applyFont="1" applyFill="1" applyBorder="1" applyAlignment="1">
      <alignment horizontal="center" vertical="center"/>
    </xf>
    <xf numFmtId="3" fontId="33" fillId="30" borderId="0" xfId="0" applyNumberFormat="1" applyFont="1" applyFill="1" applyAlignment="1">
      <alignment horizontal="center" vertical="center"/>
    </xf>
    <xf numFmtId="0" fontId="61" fillId="25" borderId="35" xfId="52" applyFont="1" applyFill="1" applyBorder="1" applyAlignment="1" applyProtection="1">
      <alignment horizontal="center" vertical="center" wrapText="1"/>
    </xf>
    <xf numFmtId="49" fontId="61" fillId="34" borderId="29" xfId="52" applyNumberFormat="1" applyFont="1" applyFill="1" applyBorder="1" applyAlignment="1" applyProtection="1">
      <alignment horizontal="center" vertical="center" wrapText="1"/>
    </xf>
    <xf numFmtId="49" fontId="52" fillId="30" borderId="24" xfId="52" applyNumberFormat="1" applyFont="1" applyFill="1" applyBorder="1" applyAlignment="1" applyProtection="1">
      <alignment horizontal="center" vertical="center" wrapText="1"/>
    </xf>
    <xf numFmtId="49" fontId="52" fillId="30" borderId="30" xfId="52" applyNumberFormat="1" applyFont="1" applyFill="1" applyBorder="1" applyAlignment="1" applyProtection="1">
      <alignment horizontal="center" vertical="center" wrapText="1"/>
    </xf>
    <xf numFmtId="0" fontId="61" fillId="34" borderId="29" xfId="52" applyFont="1" applyFill="1" applyBorder="1" applyAlignment="1" applyProtection="1">
      <alignment horizontal="left" vertical="center" wrapText="1"/>
    </xf>
    <xf numFmtId="0" fontId="61" fillId="25" borderId="11" xfId="52" applyFont="1" applyFill="1" applyBorder="1" applyAlignment="1" applyProtection="1">
      <alignment horizontal="center" vertical="center" wrapText="1"/>
    </xf>
    <xf numFmtId="0" fontId="61" fillId="25" borderId="41" xfId="52" applyFont="1" applyFill="1" applyBorder="1" applyAlignment="1" applyProtection="1">
      <alignment horizontal="center" vertical="center" wrapText="1"/>
    </xf>
    <xf numFmtId="2" fontId="34" fillId="2" borderId="26" xfId="0" applyNumberFormat="1" applyFont="1" applyFill="1" applyBorder="1" applyAlignment="1">
      <alignment horizontal="center" vertical="center"/>
    </xf>
    <xf numFmtId="0" fontId="61" fillId="40" borderId="2" xfId="52" applyFont="1" applyFill="1" applyBorder="1" applyAlignment="1" applyProtection="1">
      <alignment horizontal="center" vertical="center" wrapText="1"/>
    </xf>
    <xf numFmtId="0" fontId="61" fillId="40" borderId="9" xfId="54" applyFont="1" applyFill="1" applyBorder="1" applyAlignment="1" applyProtection="1">
      <alignment horizontal="center" vertical="center" wrapText="1"/>
    </xf>
    <xf numFmtId="0" fontId="61" fillId="40" borderId="10" xfId="54"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protection locked="0"/>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33" fillId="2" borderId="35"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3" xfId="0" applyFont="1" applyFill="1" applyBorder="1" applyAlignment="1">
      <alignment horizontal="center" vertical="center"/>
    </xf>
    <xf numFmtId="0" fontId="12" fillId="0" borderId="0" xfId="0" applyFont="1" applyAlignment="1">
      <alignment horizontal="center"/>
    </xf>
    <xf numFmtId="49" fontId="33" fillId="26" borderId="1" xfId="49" applyNumberFormat="1" applyFont="1" applyFill="1" applyBorder="1" applyAlignment="1">
      <alignment horizontal="center" vertical="center"/>
    </xf>
    <xf numFmtId="0" fontId="33" fillId="26" borderId="1" xfId="49" applyFont="1" applyFill="1" applyBorder="1" applyAlignment="1">
      <alignment horizontal="center" vertical="center"/>
    </xf>
    <xf numFmtId="49" fontId="4" fillId="30" borderId="0" xfId="49" applyNumberFormat="1" applyFont="1" applyFill="1" applyBorder="1" applyAlignment="1" applyProtection="1">
      <alignment horizontal="center" vertical="center" wrapText="1"/>
    </xf>
    <xf numFmtId="0" fontId="34" fillId="29" borderId="5" xfId="49" applyFont="1" applyFill="1" applyBorder="1" applyAlignment="1">
      <alignment wrapText="1"/>
    </xf>
    <xf numFmtId="0" fontId="34" fillId="29" borderId="17" xfId="49" applyFont="1" applyFill="1" applyBorder="1" applyAlignment="1">
      <alignment wrapText="1"/>
    </xf>
    <xf numFmtId="49" fontId="34" fillId="29" borderId="17" xfId="49" applyNumberFormat="1" applyFont="1" applyFill="1" applyBorder="1" applyAlignment="1">
      <alignment wrapText="1"/>
    </xf>
    <xf numFmtId="49" fontId="34" fillId="29" borderId="17" xfId="49" applyNumberFormat="1" applyFont="1" applyFill="1" applyBorder="1" applyAlignment="1">
      <alignment horizontal="right" wrapText="1"/>
    </xf>
    <xf numFmtId="49" fontId="34" fillId="29" borderId="17" xfId="49" applyNumberFormat="1" applyFont="1" applyFill="1" applyBorder="1" applyAlignment="1">
      <alignment horizontal="left" wrapText="1"/>
    </xf>
    <xf numFmtId="0" fontId="34" fillId="29" borderId="17" xfId="49" applyFont="1" applyFill="1" applyBorder="1" applyAlignment="1">
      <alignment horizontal="right" vertical="center" wrapText="1"/>
    </xf>
    <xf numFmtId="49" fontId="34" fillId="29" borderId="17" xfId="49" applyNumberFormat="1" applyFont="1" applyFill="1" applyBorder="1" applyAlignment="1">
      <alignment horizontal="left" vertical="center" wrapText="1"/>
    </xf>
    <xf numFmtId="0" fontId="34" fillId="29" borderId="17" xfId="49" applyFont="1" applyFill="1" applyBorder="1" applyAlignment="1">
      <alignment horizontal="left" vertical="center" wrapText="1"/>
    </xf>
    <xf numFmtId="0" fontId="34" fillId="29" borderId="5" xfId="49" applyFont="1" applyFill="1" applyBorder="1" applyAlignment="1">
      <alignment horizontal="center" vertical="center"/>
    </xf>
    <xf numFmtId="9" fontId="34" fillId="29" borderId="5" xfId="49" applyNumberFormat="1" applyFont="1" applyFill="1" applyBorder="1" applyAlignment="1">
      <alignment horizontal="center" vertical="center"/>
    </xf>
    <xf numFmtId="0" fontId="34" fillId="29" borderId="17" xfId="49" applyFont="1" applyFill="1" applyBorder="1" applyAlignment="1">
      <alignment horizontal="center" vertical="center"/>
    </xf>
    <xf numFmtId="9" fontId="34" fillId="29" borderId="17" xfId="49" applyNumberFormat="1" applyFont="1" applyFill="1" applyBorder="1" applyAlignment="1">
      <alignment horizontal="center" vertical="center"/>
    </xf>
    <xf numFmtId="9" fontId="34" fillId="29" borderId="24" xfId="49" applyNumberFormat="1" applyFont="1" applyFill="1" applyBorder="1" applyAlignment="1">
      <alignment horizontal="center" vertical="center"/>
    </xf>
    <xf numFmtId="0" fontId="34" fillId="29" borderId="24" xfId="49" applyFont="1" applyFill="1" applyBorder="1" applyAlignment="1">
      <alignment horizontal="center" vertical="center"/>
    </xf>
    <xf numFmtId="9" fontId="34" fillId="29" borderId="17" xfId="49" applyNumberFormat="1" applyFont="1" applyFill="1" applyBorder="1" applyAlignment="1">
      <alignment horizontal="left" vertical="center"/>
    </xf>
    <xf numFmtId="9" fontId="34" fillId="29" borderId="17" xfId="50" applyFont="1" applyFill="1" applyBorder="1" applyAlignment="1">
      <alignment horizontal="center" vertical="center"/>
    </xf>
    <xf numFmtId="0" fontId="34" fillId="29" borderId="17" xfId="49" applyFont="1" applyFill="1" applyBorder="1" applyAlignment="1">
      <alignment vertical="center" wrapText="1"/>
    </xf>
    <xf numFmtId="0" fontId="4" fillId="30" borderId="0" xfId="49" applyFont="1" applyFill="1" applyAlignment="1">
      <alignment horizontal="center" wrapText="1"/>
    </xf>
    <xf numFmtId="0" fontId="4" fillId="30" borderId="0" xfId="49" applyFont="1" applyFill="1" applyAlignment="1">
      <alignment wrapText="1"/>
    </xf>
    <xf numFmtId="167" fontId="4" fillId="30" borderId="0" xfId="49" applyNumberFormat="1" applyFont="1" applyFill="1" applyAlignment="1">
      <alignment wrapText="1"/>
    </xf>
    <xf numFmtId="0" fontId="79" fillId="30" borderId="0" xfId="49" applyFill="1" applyAlignment="1">
      <alignment wrapText="1"/>
    </xf>
    <xf numFmtId="0" fontId="6" fillId="30" borderId="0" xfId="49" applyFont="1" applyFill="1" applyAlignment="1">
      <alignment wrapText="1"/>
    </xf>
    <xf numFmtId="0" fontId="8" fillId="30" borderId="0" xfId="49" applyFont="1" applyFill="1" applyAlignment="1">
      <alignment wrapText="1"/>
    </xf>
    <xf numFmtId="0" fontId="11" fillId="30" borderId="0" xfId="49" applyFont="1" applyFill="1" applyBorder="1" applyAlignment="1">
      <alignment vertical="center" wrapText="1"/>
    </xf>
    <xf numFmtId="0" fontId="45" fillId="30" borderId="0" xfId="49" applyFont="1" applyFill="1" applyBorder="1" applyAlignment="1">
      <alignment vertical="center" wrapText="1"/>
    </xf>
    <xf numFmtId="0" fontId="12" fillId="30" borderId="0" xfId="49" applyFont="1" applyFill="1" applyBorder="1" applyAlignment="1">
      <alignment horizontal="center" vertical="center" wrapText="1"/>
    </xf>
    <xf numFmtId="0" fontId="13" fillId="30" borderId="0" xfId="49" applyFont="1" applyFill="1" applyAlignment="1">
      <alignment wrapText="1"/>
    </xf>
    <xf numFmtId="1" fontId="33" fillId="42" borderId="38" xfId="21" applyFont="1" applyFill="1" applyBorder="1" applyAlignment="1">
      <alignment horizontal="center" vertical="center" wrapText="1"/>
    </xf>
    <xf numFmtId="1" fontId="33" fillId="42" borderId="9" xfId="21" applyFont="1" applyFill="1" applyBorder="1" applyAlignment="1">
      <alignment horizontal="center" vertical="center" wrapText="1"/>
    </xf>
    <xf numFmtId="1" fontId="33" fillId="42" borderId="10" xfId="21" applyFont="1" applyFill="1" applyBorder="1" applyAlignment="1">
      <alignment horizontal="center" vertical="center" wrapText="1"/>
    </xf>
    <xf numFmtId="1" fontId="33" fillId="42" borderId="65" xfId="21" applyFont="1" applyFill="1" applyBorder="1" applyAlignment="1">
      <alignment horizontal="center" vertical="center" wrapText="1"/>
    </xf>
    <xf numFmtId="0" fontId="33" fillId="35" borderId="42" xfId="49" applyFont="1" applyFill="1" applyBorder="1" applyAlignment="1">
      <alignment horizontal="center" vertical="center" wrapText="1"/>
    </xf>
    <xf numFmtId="0" fontId="33" fillId="35" borderId="34" xfId="49" applyFont="1" applyFill="1" applyBorder="1" applyAlignment="1">
      <alignment horizontal="left" vertical="center" wrapText="1"/>
    </xf>
    <xf numFmtId="0" fontId="33" fillId="35" borderId="2" xfId="49" applyFont="1" applyFill="1" applyBorder="1" applyAlignment="1">
      <alignment horizontal="center" vertical="center" wrapText="1"/>
    </xf>
    <xf numFmtId="0" fontId="33" fillId="35" borderId="65" xfId="49" applyFont="1" applyFill="1" applyBorder="1" applyAlignment="1">
      <alignment horizontal="left" vertical="center" wrapText="1"/>
    </xf>
    <xf numFmtId="0" fontId="33" fillId="35" borderId="9" xfId="49" applyFont="1" applyFill="1" applyBorder="1" applyAlignment="1">
      <alignment horizontal="left" vertical="center" wrapText="1"/>
    </xf>
    <xf numFmtId="3" fontId="33" fillId="35" borderId="9" xfId="49" applyNumberFormat="1" applyFont="1" applyFill="1" applyBorder="1" applyAlignment="1">
      <alignment horizontal="left" vertical="center" wrapText="1"/>
    </xf>
    <xf numFmtId="0" fontId="33" fillId="35" borderId="10" xfId="49" applyFont="1" applyFill="1" applyBorder="1" applyAlignment="1">
      <alignment horizontal="left" vertical="center" wrapText="1"/>
    </xf>
    <xf numFmtId="0" fontId="33" fillId="35" borderId="34" xfId="49" applyFont="1" applyFill="1" applyBorder="1" applyAlignment="1">
      <alignment horizontal="center" vertical="center" wrapText="1"/>
    </xf>
    <xf numFmtId="0" fontId="33" fillId="35" borderId="38" xfId="49" applyFont="1" applyFill="1" applyBorder="1" applyAlignment="1">
      <alignment horizontal="left" vertical="center" wrapText="1"/>
    </xf>
    <xf numFmtId="0" fontId="71" fillId="30" borderId="0" xfId="49" applyFont="1" applyFill="1" applyAlignment="1">
      <alignment wrapText="1"/>
    </xf>
    <xf numFmtId="167" fontId="104" fillId="30" borderId="91" xfId="49" applyNumberFormat="1" applyFont="1" applyFill="1" applyBorder="1" applyAlignment="1">
      <alignment horizontal="center" wrapText="1"/>
    </xf>
    <xf numFmtId="0" fontId="65" fillId="30" borderId="0" xfId="49" applyFont="1" applyFill="1" applyAlignment="1">
      <alignment wrapText="1"/>
    </xf>
    <xf numFmtId="49" fontId="33" fillId="26" borderId="1" xfId="49" applyNumberFormat="1" applyFont="1" applyFill="1" applyBorder="1" applyAlignment="1">
      <alignment horizontal="center" vertical="center" wrapText="1"/>
    </xf>
    <xf numFmtId="49" fontId="33" fillId="26" borderId="1" xfId="49" applyNumberFormat="1" applyFont="1" applyFill="1" applyBorder="1" applyAlignment="1">
      <alignment vertical="center" wrapText="1"/>
    </xf>
    <xf numFmtId="3" fontId="13" fillId="30" borderId="0" xfId="0" applyNumberFormat="1" applyFont="1" applyFill="1" applyAlignment="1">
      <alignment wrapText="1"/>
    </xf>
    <xf numFmtId="1" fontId="74" fillId="30" borderId="89" xfId="0" applyNumberFormat="1" applyFont="1" applyFill="1" applyBorder="1" applyAlignment="1">
      <alignment horizontal="center" wrapText="1"/>
    </xf>
    <xf numFmtId="0" fontId="34" fillId="30" borderId="5" xfId="49" applyFont="1" applyFill="1" applyBorder="1" applyAlignment="1">
      <alignment horizontal="center" vertical="center" wrapText="1"/>
    </xf>
    <xf numFmtId="0" fontId="34" fillId="29" borderId="5" xfId="49" applyFont="1" applyFill="1" applyBorder="1" applyAlignment="1">
      <alignment horizontal="center" vertical="center" wrapText="1"/>
    </xf>
    <xf numFmtId="9" fontId="34" fillId="29" borderId="5" xfId="49" applyNumberFormat="1" applyFont="1" applyFill="1" applyBorder="1" applyAlignment="1">
      <alignment horizontal="center" vertical="center" wrapText="1"/>
    </xf>
    <xf numFmtId="0" fontId="0" fillId="30" borderId="0" xfId="0" applyFill="1" applyAlignment="1">
      <alignment wrapText="1"/>
    </xf>
    <xf numFmtId="3" fontId="20" fillId="30" borderId="91" xfId="0" applyNumberFormat="1" applyFont="1" applyFill="1" applyBorder="1" applyAlignment="1">
      <alignment wrapText="1"/>
    </xf>
    <xf numFmtId="0" fontId="34" fillId="30" borderId="17" xfId="49" applyFont="1" applyFill="1" applyBorder="1" applyAlignment="1">
      <alignment horizontal="center" vertical="center" wrapText="1"/>
    </xf>
    <xf numFmtId="0" fontId="34" fillId="29" borderId="17" xfId="49" applyFont="1" applyFill="1" applyBorder="1" applyAlignment="1">
      <alignment horizontal="center" vertical="center" wrapText="1"/>
    </xf>
    <xf numFmtId="9" fontId="34" fillId="29" borderId="17" xfId="49" applyNumberFormat="1" applyFont="1" applyFill="1" applyBorder="1" applyAlignment="1">
      <alignment horizontal="center" vertical="center" wrapText="1"/>
    </xf>
    <xf numFmtId="3" fontId="74" fillId="30" borderId="91" xfId="0" applyNumberFormat="1" applyFont="1" applyFill="1" applyBorder="1" applyAlignment="1">
      <alignment wrapText="1"/>
    </xf>
    <xf numFmtId="3" fontId="33" fillId="30" borderId="17" xfId="49" applyNumberFormat="1" applyFont="1" applyFill="1" applyBorder="1" applyAlignment="1">
      <alignment horizontal="center" vertical="center" wrapText="1"/>
    </xf>
    <xf numFmtId="0" fontId="6" fillId="30" borderId="91" xfId="0" applyFont="1" applyFill="1" applyBorder="1" applyAlignment="1">
      <alignment wrapText="1"/>
    </xf>
    <xf numFmtId="9" fontId="34" fillId="29" borderId="24" xfId="49" applyNumberFormat="1" applyFont="1" applyFill="1" applyBorder="1" applyAlignment="1">
      <alignment horizontal="center" vertical="center" wrapText="1"/>
    </xf>
    <xf numFmtId="0" fontId="20" fillId="30" borderId="0" xfId="0" applyFont="1" applyFill="1" applyAlignment="1">
      <alignment wrapText="1"/>
    </xf>
    <xf numFmtId="0" fontId="79" fillId="30" borderId="0" xfId="49" applyFont="1" applyFill="1" applyAlignment="1">
      <alignment wrapText="1"/>
    </xf>
    <xf numFmtId="3" fontId="33" fillId="21" borderId="17" xfId="49" applyNumberFormat="1" applyFont="1" applyFill="1" applyBorder="1" applyAlignment="1">
      <alignment horizontal="center" vertical="center" wrapText="1"/>
    </xf>
    <xf numFmtId="3" fontId="33" fillId="21" borderId="32" xfId="49" applyNumberFormat="1" applyFont="1" applyFill="1" applyBorder="1" applyAlignment="1">
      <alignment horizontal="center" vertical="center" wrapText="1"/>
    </xf>
    <xf numFmtId="3" fontId="33" fillId="21" borderId="7" xfId="49" applyNumberFormat="1" applyFont="1" applyFill="1" applyBorder="1" applyAlignment="1">
      <alignment horizontal="center" vertical="center" wrapText="1"/>
    </xf>
    <xf numFmtId="3" fontId="33" fillId="21" borderId="53" xfId="49" applyNumberFormat="1" applyFont="1" applyFill="1" applyBorder="1" applyAlignment="1">
      <alignment horizontal="center" vertical="center" wrapText="1"/>
    </xf>
    <xf numFmtId="0" fontId="34" fillId="30" borderId="24" xfId="49" applyFont="1" applyFill="1" applyBorder="1" applyAlignment="1">
      <alignment horizontal="center" vertical="center" wrapText="1"/>
    </xf>
    <xf numFmtId="0" fontId="34" fillId="29" borderId="24" xfId="49" applyFont="1" applyFill="1" applyBorder="1" applyAlignment="1">
      <alignment horizontal="center" vertical="center" wrapText="1"/>
    </xf>
    <xf numFmtId="0" fontId="34" fillId="29" borderId="24" xfId="0" applyFont="1" applyFill="1" applyBorder="1" applyAlignment="1">
      <alignment horizontal="center" vertical="center" wrapText="1"/>
    </xf>
    <xf numFmtId="0" fontId="34" fillId="0" borderId="24" xfId="49" applyFont="1" applyFill="1" applyBorder="1" applyAlignment="1">
      <alignment horizontal="center" vertical="center" wrapText="1"/>
    </xf>
    <xf numFmtId="9" fontId="34" fillId="30" borderId="24" xfId="49" applyNumberFormat="1"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34" fillId="30" borderId="36" xfId="49" applyFont="1" applyFill="1" applyBorder="1" applyAlignment="1">
      <alignment horizontal="center" vertical="center" wrapText="1"/>
    </xf>
    <xf numFmtId="9" fontId="34" fillId="30" borderId="36" xfId="49" applyNumberFormat="1" applyFont="1" applyFill="1" applyBorder="1" applyAlignment="1">
      <alignment horizontal="center" vertical="center" wrapText="1"/>
    </xf>
    <xf numFmtId="0" fontId="33" fillId="26" borderId="1" xfId="49" applyFont="1" applyFill="1" applyBorder="1" applyAlignment="1">
      <alignment horizontal="center" vertical="center" wrapText="1"/>
    </xf>
    <xf numFmtId="0" fontId="33" fillId="26" borderId="1" xfId="49" applyFont="1" applyFill="1" applyBorder="1" applyAlignment="1">
      <alignment horizontal="left" vertical="center" wrapText="1"/>
    </xf>
    <xf numFmtId="0" fontId="34" fillId="29" borderId="5" xfId="0" applyFont="1" applyFill="1" applyBorder="1" applyAlignment="1">
      <alignment horizontal="center" vertical="center" wrapText="1"/>
    </xf>
    <xf numFmtId="1" fontId="0" fillId="30" borderId="0" xfId="0" applyNumberFormat="1" applyFill="1" applyAlignment="1">
      <alignment wrapText="1"/>
    </xf>
    <xf numFmtId="1" fontId="74" fillId="0" borderId="90" xfId="0" applyNumberFormat="1" applyFont="1" applyFill="1" applyBorder="1" applyAlignment="1">
      <alignment horizontal="center" wrapText="1"/>
    </xf>
    <xf numFmtId="0" fontId="34" fillId="29" borderId="17" xfId="0" applyFont="1" applyFill="1" applyBorder="1" applyAlignment="1">
      <alignment horizontal="center" vertical="center" wrapText="1"/>
    </xf>
    <xf numFmtId="3" fontId="33" fillId="30" borderId="0" xfId="0" applyNumberFormat="1" applyFont="1" applyFill="1" applyBorder="1" applyAlignment="1">
      <alignment horizontal="center" vertical="center" wrapText="1"/>
    </xf>
    <xf numFmtId="0" fontId="20" fillId="30" borderId="91" xfId="0" applyFont="1" applyFill="1" applyBorder="1" applyAlignment="1">
      <alignment wrapText="1"/>
    </xf>
    <xf numFmtId="0" fontId="4" fillId="30" borderId="91" xfId="0" applyFont="1" applyFill="1" applyBorder="1" applyAlignment="1">
      <alignment wrapText="1"/>
    </xf>
    <xf numFmtId="0" fontId="34" fillId="30" borderId="24" xfId="0" applyFont="1" applyFill="1" applyBorder="1" applyAlignment="1">
      <alignment horizontal="center" vertical="center" wrapText="1"/>
    </xf>
    <xf numFmtId="9" fontId="34" fillId="30" borderId="5" xfId="49" applyNumberFormat="1" applyFont="1" applyFill="1" applyBorder="1" applyAlignment="1">
      <alignment horizontal="center" vertical="center" wrapText="1"/>
    </xf>
    <xf numFmtId="0" fontId="34" fillId="30" borderId="36" xfId="0" applyFont="1" applyFill="1" applyBorder="1" applyAlignment="1">
      <alignment horizontal="center" vertical="center" wrapText="1"/>
    </xf>
    <xf numFmtId="9" fontId="34" fillId="30" borderId="17" xfId="49" applyNumberFormat="1" applyFont="1" applyFill="1" applyBorder="1" applyAlignment="1">
      <alignment horizontal="center" vertical="center" wrapText="1"/>
    </xf>
    <xf numFmtId="9" fontId="34" fillId="30" borderId="36" xfId="1" applyFont="1" applyFill="1" applyBorder="1" applyAlignment="1">
      <alignment horizontal="center" vertical="center" wrapText="1"/>
    </xf>
    <xf numFmtId="3" fontId="74" fillId="30" borderId="89" xfId="0" applyNumberFormat="1" applyFont="1" applyFill="1" applyBorder="1" applyAlignment="1">
      <alignment horizontal="center" wrapText="1"/>
    </xf>
    <xf numFmtId="3" fontId="80" fillId="30" borderId="91" xfId="0" applyNumberFormat="1" applyFont="1" applyFill="1" applyBorder="1" applyAlignment="1">
      <alignment wrapText="1"/>
    </xf>
    <xf numFmtId="3" fontId="33" fillId="30" borderId="44" xfId="49" applyNumberFormat="1" applyFont="1" applyFill="1" applyBorder="1" applyAlignment="1">
      <alignment horizontal="center" vertical="center" wrapText="1"/>
    </xf>
    <xf numFmtId="3" fontId="33" fillId="30" borderId="31" xfId="49" applyNumberFormat="1" applyFont="1" applyFill="1" applyBorder="1" applyAlignment="1">
      <alignment horizontal="center" vertical="center" wrapText="1"/>
    </xf>
    <xf numFmtId="0" fontId="44" fillId="30" borderId="0" xfId="0" applyFont="1" applyFill="1" applyAlignment="1">
      <alignment wrapText="1"/>
    </xf>
    <xf numFmtId="0" fontId="33" fillId="35" borderId="1" xfId="49" applyFont="1" applyFill="1" applyBorder="1" applyAlignment="1">
      <alignment horizontal="center" vertical="center" wrapText="1"/>
    </xf>
    <xf numFmtId="0" fontId="33" fillId="35" borderId="2" xfId="49" applyFont="1" applyFill="1" applyBorder="1" applyAlignment="1">
      <alignment horizontal="left" vertical="center" wrapText="1"/>
    </xf>
    <xf numFmtId="3" fontId="33" fillId="35" borderId="38" xfId="49" applyNumberFormat="1" applyFont="1" applyFill="1" applyBorder="1" applyAlignment="1">
      <alignment horizontal="left" vertical="center" wrapText="1"/>
    </xf>
    <xf numFmtId="3" fontId="33" fillId="35" borderId="10" xfId="49" applyNumberFormat="1" applyFont="1" applyFill="1" applyBorder="1" applyAlignment="1">
      <alignment horizontal="left" vertical="center" wrapText="1"/>
    </xf>
    <xf numFmtId="0" fontId="71" fillId="30" borderId="0" xfId="0" applyFont="1" applyFill="1" applyAlignment="1">
      <alignment wrapText="1"/>
    </xf>
    <xf numFmtId="167" fontId="33" fillId="26" borderId="1" xfId="49" applyNumberFormat="1" applyFont="1" applyFill="1" applyBorder="1" applyAlignment="1">
      <alignment horizontal="center" vertical="center" wrapText="1"/>
    </xf>
    <xf numFmtId="3" fontId="33" fillId="26" borderId="38" xfId="49" applyNumberFormat="1" applyFont="1" applyFill="1" applyBorder="1" applyAlignment="1">
      <alignment horizontal="center" vertical="center" wrapText="1"/>
    </xf>
    <xf numFmtId="3" fontId="33" fillId="26" borderId="9" xfId="49" applyNumberFormat="1" applyFont="1" applyFill="1" applyBorder="1" applyAlignment="1">
      <alignment horizontal="center" vertical="center" wrapText="1"/>
    </xf>
    <xf numFmtId="3" fontId="33" fillId="26" borderId="8" xfId="49" applyNumberFormat="1" applyFont="1" applyFill="1" applyBorder="1" applyAlignment="1">
      <alignment horizontal="center" vertical="center" wrapText="1"/>
    </xf>
    <xf numFmtId="167" fontId="33" fillId="26" borderId="38" xfId="49" applyNumberFormat="1" applyFont="1" applyFill="1" applyBorder="1" applyAlignment="1">
      <alignment horizontal="center" vertical="center" wrapText="1"/>
    </xf>
    <xf numFmtId="167" fontId="33" fillId="26" borderId="9" xfId="49" applyNumberFormat="1" applyFont="1" applyFill="1" applyBorder="1" applyAlignment="1">
      <alignment horizontal="center" vertical="center" wrapText="1"/>
    </xf>
    <xf numFmtId="167" fontId="33" fillId="26" borderId="8" xfId="49" applyNumberFormat="1" applyFont="1" applyFill="1" applyBorder="1" applyAlignment="1">
      <alignment horizontal="center" vertical="center" wrapText="1"/>
    </xf>
    <xf numFmtId="3" fontId="33" fillId="26" borderId="10" xfId="49" applyNumberFormat="1" applyFont="1" applyFill="1" applyBorder="1" applyAlignment="1">
      <alignment horizontal="center" vertical="center" wrapText="1"/>
    </xf>
    <xf numFmtId="0" fontId="34" fillId="30" borderId="0" xfId="49" applyFont="1" applyFill="1" applyAlignment="1">
      <alignment wrapText="1"/>
    </xf>
    <xf numFmtId="9" fontId="34" fillId="29" borderId="17" xfId="49" applyNumberFormat="1" applyFont="1" applyFill="1" applyBorder="1" applyAlignment="1">
      <alignment horizontal="left" vertical="center" wrapText="1"/>
    </xf>
    <xf numFmtId="9" fontId="34" fillId="29" borderId="17" xfId="50" applyFont="1" applyFill="1" applyBorder="1" applyAlignment="1">
      <alignment horizontal="center" vertical="center" wrapText="1"/>
    </xf>
    <xf numFmtId="0" fontId="34" fillId="0" borderId="17" xfId="49" applyFont="1" applyFill="1" applyBorder="1" applyAlignment="1">
      <alignment horizontal="center" vertical="center" wrapText="1"/>
    </xf>
    <xf numFmtId="167" fontId="33" fillId="26" borderId="10" xfId="49" applyNumberFormat="1" applyFont="1" applyFill="1" applyBorder="1" applyAlignment="1">
      <alignment horizontal="center" vertical="center" wrapText="1"/>
    </xf>
    <xf numFmtId="0" fontId="34" fillId="0" borderId="5" xfId="49" applyFont="1" applyFill="1" applyBorder="1" applyAlignment="1">
      <alignment horizontal="center" vertical="center" wrapText="1"/>
    </xf>
    <xf numFmtId="0" fontId="33" fillId="39" borderId="1" xfId="49" applyFont="1" applyFill="1" applyBorder="1" applyAlignment="1">
      <alignment horizontal="center" vertical="center" wrapText="1"/>
    </xf>
    <xf numFmtId="0" fontId="33" fillId="39" borderId="1" xfId="49" applyFont="1" applyFill="1" applyBorder="1" applyAlignment="1">
      <alignment horizontal="left" vertical="center" wrapText="1"/>
    </xf>
    <xf numFmtId="0" fontId="20" fillId="30" borderId="92" xfId="0" applyFont="1" applyFill="1" applyBorder="1" applyAlignment="1">
      <alignment wrapText="1"/>
    </xf>
    <xf numFmtId="167" fontId="4" fillId="30" borderId="0" xfId="49" applyNumberFormat="1" applyFont="1" applyFill="1" applyBorder="1" applyAlignment="1" applyProtection="1">
      <alignment horizontal="center" vertical="center" wrapText="1"/>
      <protection locked="0"/>
    </xf>
    <xf numFmtId="167" fontId="4" fillId="30" borderId="0" xfId="49" applyNumberFormat="1" applyFont="1" applyFill="1" applyBorder="1" applyAlignment="1" applyProtection="1">
      <alignment horizontal="right" vertical="center" wrapText="1"/>
      <protection locked="0"/>
    </xf>
    <xf numFmtId="0" fontId="4" fillId="30" borderId="0" xfId="49" applyFont="1" applyFill="1" applyAlignment="1">
      <alignment horizontal="center" vertical="center" wrapText="1"/>
    </xf>
    <xf numFmtId="0" fontId="4" fillId="30" borderId="0" xfId="49" applyFont="1" applyFill="1" applyAlignment="1">
      <alignment vertical="center" wrapText="1"/>
    </xf>
    <xf numFmtId="0" fontId="13" fillId="30" borderId="0" xfId="49" applyFont="1" applyFill="1" applyAlignment="1">
      <alignment horizontal="center" wrapText="1"/>
    </xf>
    <xf numFmtId="0" fontId="4" fillId="30" borderId="0" xfId="49" applyNumberFormat="1" applyFont="1" applyFill="1" applyAlignment="1">
      <alignment wrapText="1"/>
    </xf>
    <xf numFmtId="3" fontId="4" fillId="30" borderId="0" xfId="49" applyNumberFormat="1" applyFont="1" applyFill="1" applyAlignment="1">
      <alignment wrapText="1"/>
    </xf>
    <xf numFmtId="0" fontId="4" fillId="30" borderId="0" xfId="0" applyFont="1" applyFill="1" applyAlignment="1">
      <alignment vertical="center" wrapText="1"/>
    </xf>
    <xf numFmtId="0" fontId="4" fillId="30" borderId="0" xfId="0" applyNumberFormat="1" applyFont="1" applyFill="1" applyAlignment="1">
      <alignment wrapText="1"/>
    </xf>
    <xf numFmtId="0" fontId="4" fillId="30" borderId="0" xfId="0" applyFont="1" applyFill="1" applyAlignment="1">
      <alignment wrapText="1"/>
    </xf>
    <xf numFmtId="0" fontId="4" fillId="30" borderId="0" xfId="0" applyNumberFormat="1" applyFont="1" applyFill="1" applyAlignment="1">
      <alignment horizontal="center" wrapText="1"/>
    </xf>
    <xf numFmtId="49" fontId="4" fillId="30" borderId="0" xfId="0" applyNumberFormat="1" applyFont="1" applyFill="1" applyAlignment="1">
      <alignment horizontal="right" wrapText="1"/>
    </xf>
    <xf numFmtId="0" fontId="4" fillId="30" borderId="0" xfId="31" applyFont="1" applyFill="1" applyAlignment="1">
      <alignment wrapText="1"/>
    </xf>
    <xf numFmtId="0" fontId="29" fillId="30" borderId="0" xfId="0" applyNumberFormat="1" applyFont="1" applyFill="1" applyAlignment="1">
      <alignment horizontal="center" wrapText="1"/>
    </xf>
    <xf numFmtId="49" fontId="13" fillId="30" borderId="0" xfId="0" applyNumberFormat="1" applyFont="1" applyFill="1" applyAlignment="1">
      <alignment horizontal="right" wrapText="1"/>
    </xf>
    <xf numFmtId="0" fontId="4" fillId="30" borderId="0" xfId="31" applyFont="1" applyFill="1" applyAlignment="1">
      <alignment horizontal="center" wrapText="1"/>
    </xf>
    <xf numFmtId="0" fontId="36" fillId="30" borderId="0" xfId="31" applyFont="1" applyFill="1" applyBorder="1" applyAlignment="1">
      <alignment wrapText="1"/>
    </xf>
    <xf numFmtId="0" fontId="33" fillId="30" borderId="17" xfId="32" applyFont="1" applyFill="1" applyBorder="1" applyAlignment="1">
      <alignment horizontal="center" vertical="center"/>
    </xf>
    <xf numFmtId="0" fontId="33" fillId="24" borderId="17" xfId="32" applyFont="1" applyFill="1" applyBorder="1" applyAlignment="1">
      <alignment horizontal="center" vertical="center"/>
    </xf>
    <xf numFmtId="0" fontId="34" fillId="24" borderId="17" xfId="32" applyFont="1" applyFill="1" applyBorder="1" applyAlignment="1">
      <alignment horizontal="center" vertical="center"/>
    </xf>
    <xf numFmtId="0" fontId="65" fillId="29" borderId="0" xfId="0" applyFont="1" applyFill="1" applyAlignment="1">
      <alignment horizontal="center"/>
    </xf>
    <xf numFmtId="0" fontId="34" fillId="29" borderId="0" xfId="0" applyFont="1" applyFill="1" applyBorder="1" applyAlignment="1">
      <alignment horizontal="center"/>
    </xf>
    <xf numFmtId="3" fontId="34" fillId="0" borderId="17" xfId="32" applyNumberFormat="1" applyFont="1" applyFill="1" applyBorder="1" applyAlignment="1">
      <alignment horizontal="left" vertical="center" wrapText="1"/>
    </xf>
    <xf numFmtId="0" fontId="33" fillId="29" borderId="5" xfId="32" applyFont="1" applyFill="1" applyBorder="1" applyAlignment="1">
      <alignment vertical="center" wrapText="1"/>
    </xf>
    <xf numFmtId="0" fontId="34" fillId="30" borderId="0" xfId="32" applyFont="1" applyFill="1" applyAlignment="1">
      <alignment wrapText="1"/>
    </xf>
    <xf numFmtId="0" fontId="33" fillId="34" borderId="29" xfId="32" applyFont="1" applyFill="1" applyBorder="1" applyAlignment="1">
      <alignment vertical="center" wrapText="1"/>
    </xf>
    <xf numFmtId="0" fontId="34" fillId="30" borderId="24" xfId="32" applyFont="1" applyFill="1" applyBorder="1" applyAlignment="1">
      <alignment wrapText="1"/>
    </xf>
    <xf numFmtId="0" fontId="34" fillId="30" borderId="36" xfId="32" applyFont="1" applyFill="1" applyBorder="1" applyAlignment="1">
      <alignment wrapText="1"/>
    </xf>
    <xf numFmtId="0" fontId="34" fillId="30" borderId="29" xfId="32" applyFont="1" applyFill="1" applyBorder="1" applyAlignment="1">
      <alignment wrapText="1"/>
    </xf>
    <xf numFmtId="0" fontId="34" fillId="30" borderId="30" xfId="32" applyFont="1" applyFill="1" applyBorder="1" applyAlignment="1">
      <alignment wrapText="1"/>
    </xf>
    <xf numFmtId="0" fontId="34" fillId="30" borderId="0" xfId="32" applyFont="1" applyFill="1" applyAlignment="1">
      <alignment vertical="center" wrapText="1"/>
    </xf>
    <xf numFmtId="0" fontId="33" fillId="34" borderId="29" xfId="0" applyFont="1" applyFill="1" applyBorder="1" applyAlignment="1">
      <alignment vertical="center" wrapText="1"/>
    </xf>
    <xf numFmtId="0" fontId="0" fillId="29" borderId="0" xfId="0" applyFill="1" applyAlignment="1">
      <alignment wrapText="1"/>
    </xf>
    <xf numFmtId="9" fontId="34" fillId="29" borderId="17" xfId="1" applyFont="1" applyFill="1" applyBorder="1" applyAlignment="1">
      <alignment horizontal="center" vertical="center"/>
    </xf>
    <xf numFmtId="9" fontId="34" fillId="29" borderId="29" xfId="1" applyFont="1" applyFill="1" applyBorder="1" applyAlignment="1">
      <alignment horizontal="center"/>
    </xf>
    <xf numFmtId="9" fontId="34" fillId="29" borderId="76" xfId="1" applyFont="1" applyFill="1" applyBorder="1" applyAlignment="1">
      <alignment horizontal="center"/>
    </xf>
    <xf numFmtId="9" fontId="34" fillId="29" borderId="22" xfId="1" applyFont="1" applyFill="1" applyBorder="1" applyAlignment="1">
      <alignment horizontal="center"/>
    </xf>
    <xf numFmtId="9" fontId="34" fillId="29" borderId="74" xfId="1" applyFont="1" applyFill="1" applyBorder="1" applyAlignment="1">
      <alignment horizontal="center"/>
    </xf>
    <xf numFmtId="9" fontId="34" fillId="29" borderId="75" xfId="1" applyFont="1" applyFill="1" applyBorder="1" applyAlignment="1">
      <alignment horizontal="center"/>
    </xf>
    <xf numFmtId="9" fontId="34" fillId="29" borderId="24" xfId="1" applyFont="1" applyFill="1" applyBorder="1" applyAlignment="1">
      <alignment horizontal="center"/>
    </xf>
    <xf numFmtId="9" fontId="34" fillId="29" borderId="53" xfId="1" applyFont="1" applyFill="1" applyBorder="1" applyAlignment="1">
      <alignment horizontal="center"/>
    </xf>
    <xf numFmtId="9" fontId="34" fillId="29" borderId="23" xfId="1" applyFont="1" applyFill="1" applyBorder="1" applyAlignment="1">
      <alignment horizontal="center"/>
    </xf>
    <xf numFmtId="9" fontId="34" fillId="29" borderId="62" xfId="1" applyFont="1" applyFill="1" applyBorder="1" applyAlignment="1">
      <alignment horizontal="center"/>
    </xf>
    <xf numFmtId="9" fontId="34" fillId="29" borderId="52" xfId="1" applyFont="1" applyFill="1" applyBorder="1" applyAlignment="1">
      <alignment horizontal="center"/>
    </xf>
    <xf numFmtId="9" fontId="34" fillId="29" borderId="30" xfId="1" applyFont="1" applyFill="1" applyBorder="1" applyAlignment="1">
      <alignment horizontal="center"/>
    </xf>
    <xf numFmtId="9" fontId="34" fillId="29" borderId="57" xfId="1" applyFont="1" applyFill="1" applyBorder="1" applyAlignment="1">
      <alignment horizontal="center"/>
    </xf>
    <xf numFmtId="9" fontId="34" fillId="29" borderId="28" xfId="1" applyFont="1" applyFill="1" applyBorder="1" applyAlignment="1">
      <alignment horizontal="center"/>
    </xf>
    <xf numFmtId="9" fontId="34" fillId="29" borderId="78" xfId="1" applyFont="1" applyFill="1" applyBorder="1" applyAlignment="1">
      <alignment horizontal="center"/>
    </xf>
    <xf numFmtId="9" fontId="34" fillId="29" borderId="56" xfId="1" applyFont="1" applyFill="1" applyBorder="1" applyAlignment="1">
      <alignment horizontal="center"/>
    </xf>
    <xf numFmtId="3" fontId="34" fillId="32" borderId="7" xfId="49" applyNumberFormat="1" applyFont="1" applyFill="1" applyBorder="1" applyAlignment="1" applyProtection="1">
      <alignment horizontal="center"/>
      <protection locked="0"/>
    </xf>
    <xf numFmtId="0" fontId="119" fillId="30" borderId="0" xfId="32" applyFont="1" applyFill="1" applyAlignment="1">
      <alignment horizontal="center"/>
    </xf>
    <xf numFmtId="0" fontId="129" fillId="30" borderId="0" xfId="32" applyFont="1" applyFill="1" applyAlignment="1">
      <alignment horizontal="center"/>
    </xf>
    <xf numFmtId="0" fontId="116" fillId="30" borderId="0" xfId="32" applyFont="1" applyFill="1" applyAlignment="1">
      <alignment horizontal="center"/>
    </xf>
    <xf numFmtId="0" fontId="4" fillId="30" borderId="0" xfId="32" applyFont="1" applyFill="1" applyAlignment="1">
      <alignment horizontal="left"/>
    </xf>
    <xf numFmtId="0" fontId="8" fillId="30" borderId="0" xfId="32" applyFont="1" applyFill="1" applyAlignment="1">
      <alignment horizontal="left"/>
    </xf>
    <xf numFmtId="0" fontId="20" fillId="30" borderId="0" xfId="32" applyFont="1" applyFill="1" applyAlignment="1">
      <alignment horizontal="left"/>
    </xf>
    <xf numFmtId="3" fontId="34" fillId="32" borderId="53" xfId="49" applyNumberFormat="1" applyFont="1" applyFill="1" applyBorder="1" applyAlignment="1" applyProtection="1">
      <alignment horizontal="left"/>
      <protection locked="0"/>
    </xf>
    <xf numFmtId="0" fontId="65" fillId="30" borderId="0" xfId="32" applyFont="1" applyFill="1" applyAlignment="1">
      <alignment horizontal="left"/>
    </xf>
    <xf numFmtId="0" fontId="35" fillId="29" borderId="0" xfId="0" applyNumberFormat="1" applyFont="1" applyFill="1" applyBorder="1" applyAlignment="1">
      <alignment horizontal="left"/>
    </xf>
    <xf numFmtId="0" fontId="34" fillId="29" borderId="0" xfId="0" applyFont="1" applyFill="1" applyBorder="1" applyAlignment="1">
      <alignment horizontal="left"/>
    </xf>
    <xf numFmtId="0" fontId="0" fillId="29" borderId="0" xfId="0" applyFill="1" applyAlignment="1">
      <alignment horizontal="left"/>
    </xf>
    <xf numFmtId="49" fontId="34" fillId="29" borderId="0" xfId="0" applyNumberFormat="1" applyFont="1" applyFill="1" applyBorder="1" applyAlignment="1">
      <alignment horizontal="left"/>
    </xf>
    <xf numFmtId="0" fontId="35" fillId="30" borderId="0" xfId="31" applyFont="1" applyFill="1" applyBorder="1" applyAlignment="1">
      <alignment horizontal="left"/>
    </xf>
    <xf numFmtId="3" fontId="35" fillId="29" borderId="17" xfId="32" applyNumberFormat="1" applyFont="1" applyFill="1" applyBorder="1" applyAlignment="1">
      <alignment horizontal="left" vertical="center" wrapText="1"/>
    </xf>
    <xf numFmtId="49" fontId="34" fillId="0" borderId="5" xfId="27" applyFont="1" applyFill="1" applyBorder="1">
      <alignment vertical="top" wrapText="1"/>
    </xf>
    <xf numFmtId="49" fontId="34" fillId="0" borderId="17" xfId="27" applyFont="1" applyFill="1" applyBorder="1">
      <alignment vertical="top" wrapText="1"/>
    </xf>
    <xf numFmtId="49" fontId="34" fillId="0" borderId="21" xfId="27" applyFont="1" applyFill="1" applyBorder="1">
      <alignment vertical="top" wrapText="1"/>
    </xf>
    <xf numFmtId="0" fontId="33" fillId="30" borderId="51" xfId="49" applyFont="1" applyFill="1" applyBorder="1" applyAlignment="1">
      <alignment horizontal="center" vertical="center"/>
    </xf>
    <xf numFmtId="9" fontId="33" fillId="30" borderId="51" xfId="49" applyNumberFormat="1" applyFont="1" applyFill="1" applyBorder="1" applyAlignment="1">
      <alignment horizontal="center" vertical="center"/>
    </xf>
    <xf numFmtId="0" fontId="33" fillId="30" borderId="51" xfId="49" applyFont="1" applyFill="1" applyBorder="1" applyAlignment="1">
      <alignment wrapText="1"/>
    </xf>
    <xf numFmtId="0" fontId="33" fillId="0" borderId="29" xfId="49" applyFont="1" applyFill="1" applyBorder="1" applyAlignment="1">
      <alignment horizontal="center" vertical="center" wrapText="1"/>
    </xf>
    <xf numFmtId="0" fontId="34" fillId="0" borderId="42" xfId="49" applyFont="1" applyFill="1" applyBorder="1" applyAlignment="1">
      <alignment horizontal="center" vertical="center" wrapText="1"/>
    </xf>
    <xf numFmtId="0" fontId="33" fillId="29" borderId="17" xfId="49" applyFont="1" applyFill="1" applyBorder="1" applyAlignment="1">
      <alignment horizontal="center" vertical="center"/>
    </xf>
    <xf numFmtId="9" fontId="33" fillId="29" borderId="17" xfId="49" applyNumberFormat="1" applyFont="1" applyFill="1" applyBorder="1" applyAlignment="1">
      <alignment horizontal="center" vertical="center"/>
    </xf>
    <xf numFmtId="0" fontId="33" fillId="29" borderId="17" xfId="49" applyFont="1" applyFill="1" applyBorder="1" applyAlignment="1">
      <alignment wrapText="1"/>
    </xf>
    <xf numFmtId="49" fontId="33" fillId="29" borderId="17" xfId="49" applyNumberFormat="1" applyFont="1" applyFill="1" applyBorder="1" applyAlignment="1">
      <alignment wrapText="1"/>
    </xf>
    <xf numFmtId="0" fontId="35" fillId="29" borderId="17" xfId="49" applyFont="1" applyFill="1" applyBorder="1" applyAlignment="1">
      <alignment horizontal="center" vertical="center"/>
    </xf>
    <xf numFmtId="9" fontId="35" fillId="29" borderId="17" xfId="50" applyFont="1" applyFill="1" applyBorder="1" applyAlignment="1">
      <alignment horizontal="center" vertical="center"/>
    </xf>
    <xf numFmtId="49" fontId="35" fillId="29" borderId="17" xfId="49" applyNumberFormat="1" applyFont="1" applyFill="1" applyBorder="1" applyAlignment="1">
      <alignment horizontal="right" wrapText="1"/>
    </xf>
    <xf numFmtId="9" fontId="35" fillId="29" borderId="17" xfId="49" applyNumberFormat="1" applyFont="1" applyFill="1" applyBorder="1" applyAlignment="1">
      <alignment horizontal="center" vertical="center"/>
    </xf>
    <xf numFmtId="49" fontId="33" fillId="29" borderId="17" xfId="49" applyNumberFormat="1" applyFont="1" applyFill="1" applyBorder="1" applyAlignment="1">
      <alignment horizontal="left" wrapText="1"/>
    </xf>
    <xf numFmtId="0" fontId="35" fillId="29" borderId="17" xfId="49" applyFont="1" applyFill="1" applyBorder="1" applyAlignment="1">
      <alignment horizontal="right" vertical="center" wrapText="1"/>
    </xf>
    <xf numFmtId="0" fontId="33" fillId="29" borderId="24" xfId="49" applyFont="1" applyFill="1" applyBorder="1" applyAlignment="1">
      <alignment horizontal="center" vertical="center"/>
    </xf>
    <xf numFmtId="9" fontId="33" fillId="29" borderId="24" xfId="49" applyNumberFormat="1" applyFont="1" applyFill="1" applyBorder="1" applyAlignment="1">
      <alignment horizontal="center" vertical="center"/>
    </xf>
    <xf numFmtId="0" fontId="4" fillId="29" borderId="24" xfId="49" applyFont="1" applyFill="1" applyBorder="1" applyAlignment="1">
      <alignment horizontal="center" vertical="center"/>
    </xf>
    <xf numFmtId="9" fontId="4" fillId="29" borderId="24" xfId="49" applyNumberFormat="1" applyFont="1" applyFill="1" applyBorder="1" applyAlignment="1">
      <alignment horizontal="center" vertical="center"/>
    </xf>
    <xf numFmtId="49" fontId="4" fillId="29" borderId="17" xfId="49" applyNumberFormat="1" applyFont="1" applyFill="1" applyBorder="1" applyAlignment="1">
      <alignment horizontal="left" wrapText="1"/>
    </xf>
    <xf numFmtId="0" fontId="33" fillId="29" borderId="17" xfId="49" applyFont="1" applyFill="1" applyBorder="1" applyAlignment="1">
      <alignment horizontal="left" vertical="center" wrapText="1"/>
    </xf>
    <xf numFmtId="9" fontId="33" fillId="29" borderId="30" xfId="49" applyNumberFormat="1" applyFont="1" applyFill="1" applyBorder="1" applyAlignment="1">
      <alignment horizontal="center" vertical="center"/>
    </xf>
    <xf numFmtId="49" fontId="33" fillId="29" borderId="21" xfId="49" applyNumberFormat="1" applyFont="1" applyFill="1" applyBorder="1" applyAlignment="1">
      <alignment wrapText="1"/>
    </xf>
    <xf numFmtId="49" fontId="13" fillId="30" borderId="0" xfId="49" applyNumberFormat="1" applyFont="1" applyFill="1" applyBorder="1" applyAlignment="1">
      <alignment horizontal="center" vertical="center"/>
    </xf>
    <xf numFmtId="0" fontId="11" fillId="26" borderId="1" xfId="49" applyFont="1" applyFill="1" applyBorder="1" applyAlignment="1">
      <alignment horizontal="center" vertical="center"/>
    </xf>
    <xf numFmtId="0" fontId="4" fillId="29" borderId="5" xfId="49" applyFont="1" applyFill="1" applyBorder="1" applyAlignment="1">
      <alignment horizontal="center" vertical="center"/>
    </xf>
    <xf numFmtId="9" fontId="4" fillId="29" borderId="5" xfId="49" applyNumberFormat="1" applyFont="1" applyFill="1" applyBorder="1" applyAlignment="1">
      <alignment horizontal="center" vertical="center"/>
    </xf>
    <xf numFmtId="0" fontId="4" fillId="29" borderId="17" xfId="49" applyFont="1" applyFill="1" applyBorder="1" applyAlignment="1">
      <alignment vertical="center" wrapText="1"/>
    </xf>
    <xf numFmtId="0" fontId="13" fillId="29" borderId="17" xfId="49" applyFont="1" applyFill="1" applyBorder="1" applyAlignment="1">
      <alignment horizontal="center" vertical="center"/>
    </xf>
    <xf numFmtId="9" fontId="13" fillId="29" borderId="17" xfId="49" applyNumberFormat="1" applyFont="1" applyFill="1" applyBorder="1" applyAlignment="1">
      <alignment horizontal="center" vertical="center"/>
    </xf>
    <xf numFmtId="0" fontId="4" fillId="29" borderId="17" xfId="49" applyFont="1" applyFill="1" applyBorder="1" applyAlignment="1">
      <alignment horizontal="center" vertical="center"/>
    </xf>
    <xf numFmtId="9" fontId="4" fillId="29" borderId="17" xfId="49" applyNumberFormat="1" applyFont="1" applyFill="1" applyBorder="1" applyAlignment="1">
      <alignment horizontal="center" vertical="center"/>
    </xf>
    <xf numFmtId="49" fontId="13" fillId="29" borderId="17" xfId="49" applyNumberFormat="1" applyFont="1" applyFill="1" applyBorder="1" applyAlignment="1">
      <alignment wrapText="1"/>
    </xf>
    <xf numFmtId="0" fontId="36" fillId="29" borderId="17" xfId="49" applyFont="1" applyFill="1" applyBorder="1" applyAlignment="1">
      <alignment horizontal="center" vertical="center"/>
    </xf>
    <xf numFmtId="9" fontId="36" fillId="29" borderId="17" xfId="50" applyFont="1" applyFill="1" applyBorder="1" applyAlignment="1">
      <alignment horizontal="center" vertical="center"/>
    </xf>
    <xf numFmtId="49" fontId="36" fillId="29" borderId="17" xfId="49" applyNumberFormat="1" applyFont="1" applyFill="1" applyBorder="1" applyAlignment="1">
      <alignment horizontal="right" wrapText="1"/>
    </xf>
    <xf numFmtId="9" fontId="4" fillId="29" borderId="17" xfId="50" applyFont="1" applyFill="1" applyBorder="1" applyAlignment="1">
      <alignment horizontal="center" vertical="center"/>
    </xf>
    <xf numFmtId="9" fontId="36" fillId="29" borderId="17" xfId="49" applyNumberFormat="1" applyFont="1" applyFill="1" applyBorder="1" applyAlignment="1">
      <alignment horizontal="center" vertical="center"/>
    </xf>
    <xf numFmtId="49" fontId="13" fillId="29" borderId="17" xfId="49" applyNumberFormat="1" applyFont="1" applyFill="1" applyBorder="1" applyAlignment="1">
      <alignment horizontal="left" wrapText="1"/>
    </xf>
    <xf numFmtId="0" fontId="36" fillId="29" borderId="17" xfId="49" applyFont="1" applyFill="1" applyBorder="1" applyAlignment="1">
      <alignment horizontal="right" vertical="center" wrapText="1"/>
    </xf>
    <xf numFmtId="0" fontId="4" fillId="29" borderId="17" xfId="49" applyFont="1" applyFill="1" applyBorder="1" applyAlignment="1">
      <alignment horizontal="left" vertical="center" wrapText="1"/>
    </xf>
    <xf numFmtId="0" fontId="13" fillId="29" borderId="24" xfId="49" applyFont="1" applyFill="1" applyBorder="1" applyAlignment="1">
      <alignment horizontal="center" vertical="center"/>
    </xf>
    <xf numFmtId="9" fontId="13" fillId="29" borderId="24" xfId="49" applyNumberFormat="1" applyFont="1" applyFill="1" applyBorder="1" applyAlignment="1">
      <alignment horizontal="center" vertical="center"/>
    </xf>
    <xf numFmtId="0" fontId="13" fillId="29" borderId="17" xfId="49" applyFont="1" applyFill="1" applyBorder="1" applyAlignment="1">
      <alignment horizontal="left" vertical="center" wrapText="1"/>
    </xf>
    <xf numFmtId="0" fontId="34" fillId="29" borderId="21" xfId="49" applyFont="1" applyFill="1" applyBorder="1" applyAlignment="1">
      <alignment horizontal="center" vertical="center"/>
    </xf>
    <xf numFmtId="49" fontId="34" fillId="29" borderId="21" xfId="49" applyNumberFormat="1" applyFont="1" applyFill="1" applyBorder="1" applyAlignment="1">
      <alignment horizontal="left" wrapText="1"/>
    </xf>
    <xf numFmtId="0" fontId="136" fillId="30" borderId="0" xfId="0" applyNumberFormat="1" applyFont="1" applyFill="1" applyAlignment="1">
      <alignment horizontal="center"/>
    </xf>
    <xf numFmtId="0" fontId="36" fillId="30" borderId="0" xfId="0" applyNumberFormat="1" applyFont="1" applyFill="1"/>
    <xf numFmtId="0" fontId="0" fillId="0" borderId="0" xfId="0" applyAlignment="1">
      <alignment horizontal="center"/>
    </xf>
    <xf numFmtId="0" fontId="95" fillId="30" borderId="0" xfId="49" applyFont="1" applyFill="1" applyAlignment="1" applyProtection="1">
      <alignment wrapText="1"/>
    </xf>
    <xf numFmtId="0" fontId="34" fillId="0" borderId="29" xfId="0" applyFont="1" applyBorder="1" applyAlignment="1">
      <alignment vertical="center"/>
    </xf>
    <xf numFmtId="0" fontId="34" fillId="0" borderId="24" xfId="0" applyFont="1" applyBorder="1" applyAlignment="1">
      <alignment vertical="center"/>
    </xf>
    <xf numFmtId="0" fontId="33" fillId="22" borderId="1" xfId="0" applyFont="1" applyFill="1" applyBorder="1" applyAlignment="1">
      <alignment vertical="center" wrapText="1"/>
    </xf>
    <xf numFmtId="0" fontId="33" fillId="0" borderId="25" xfId="0" applyFont="1" applyBorder="1" applyAlignment="1">
      <alignment horizontal="right" vertical="center"/>
    </xf>
    <xf numFmtId="0" fontId="34" fillId="0" borderId="24" xfId="0" applyFont="1" applyBorder="1" applyAlignment="1">
      <alignment vertical="center" wrapText="1"/>
    </xf>
    <xf numFmtId="0" fontId="34" fillId="0" borderId="36" xfId="0" applyFont="1" applyBorder="1" applyAlignment="1">
      <alignment vertical="center" wrapText="1"/>
    </xf>
    <xf numFmtId="3" fontId="34" fillId="32" borderId="17" xfId="49" applyNumberFormat="1" applyFont="1" applyFill="1" applyBorder="1" applyAlignment="1" applyProtection="1">
      <alignment horizontal="center" vertical="center"/>
      <protection locked="0"/>
    </xf>
    <xf numFmtId="1" fontId="13" fillId="27" borderId="9" xfId="21" applyFont="1" applyFill="1" applyBorder="1" applyAlignment="1">
      <alignment horizontal="center" vertical="center" wrapText="1"/>
    </xf>
    <xf numFmtId="1" fontId="13" fillId="27" borderId="65" xfId="21" applyFont="1" applyFill="1" applyBorder="1" applyAlignment="1">
      <alignment horizontal="center" vertical="center" wrapText="1"/>
    </xf>
    <xf numFmtId="1" fontId="13" fillId="27" borderId="10" xfId="21" applyFont="1" applyFill="1" applyBorder="1" applyAlignment="1">
      <alignment horizontal="center" vertical="center" wrapText="1"/>
    </xf>
    <xf numFmtId="0" fontId="0" fillId="0" borderId="11" xfId="0" applyBorder="1" applyAlignment="1">
      <alignment horizontal="center"/>
    </xf>
    <xf numFmtId="3" fontId="38" fillId="0" borderId="7" xfId="0" applyNumberFormat="1" applyFont="1" applyBorder="1" applyAlignment="1">
      <alignment horizontal="center" vertical="center"/>
    </xf>
    <xf numFmtId="3" fontId="38" fillId="0" borderId="53" xfId="0" applyNumberFormat="1" applyFont="1" applyBorder="1" applyAlignment="1">
      <alignment horizontal="center" vertical="center"/>
    </xf>
    <xf numFmtId="3" fontId="38" fillId="0" borderId="32" xfId="0" applyNumberFormat="1" applyFont="1" applyBorder="1" applyAlignment="1">
      <alignment horizontal="center" vertical="center"/>
    </xf>
    <xf numFmtId="3" fontId="40" fillId="0" borderId="52" xfId="0" applyNumberFormat="1" applyFont="1" applyBorder="1" applyAlignment="1">
      <alignment horizontal="center" vertical="center"/>
    </xf>
    <xf numFmtId="3" fontId="40" fillId="0" borderId="7" xfId="0" applyNumberFormat="1" applyFont="1" applyBorder="1" applyAlignment="1">
      <alignment horizontal="center" vertical="center"/>
    </xf>
    <xf numFmtId="3" fontId="40" fillId="0" borderId="53" xfId="0" applyNumberFormat="1" applyFont="1" applyBorder="1" applyAlignment="1">
      <alignment horizontal="center" vertical="center"/>
    </xf>
    <xf numFmtId="3" fontId="40" fillId="0" borderId="32" xfId="0" applyNumberFormat="1" applyFont="1" applyBorder="1" applyAlignment="1">
      <alignment horizontal="center" vertical="center"/>
    </xf>
    <xf numFmtId="3" fontId="38" fillId="32" borderId="32" xfId="49" applyNumberFormat="1" applyFont="1" applyFill="1" applyBorder="1" applyAlignment="1" applyProtection="1">
      <alignment horizontal="center"/>
      <protection locked="0"/>
    </xf>
    <xf numFmtId="3" fontId="38" fillId="32" borderId="7" xfId="49" applyNumberFormat="1" applyFont="1" applyFill="1" applyBorder="1" applyAlignment="1" applyProtection="1">
      <alignment horizontal="center"/>
      <protection locked="0"/>
    </xf>
    <xf numFmtId="3" fontId="38" fillId="32" borderId="53" xfId="49" applyNumberFormat="1" applyFont="1" applyFill="1" applyBorder="1" applyAlignment="1" applyProtection="1">
      <alignment horizontal="center"/>
      <protection locked="0"/>
    </xf>
    <xf numFmtId="3" fontId="38" fillId="32" borderId="52" xfId="49" applyNumberFormat="1" applyFont="1" applyFill="1" applyBorder="1" applyAlignment="1" applyProtection="1">
      <alignment horizontal="center"/>
      <protection locked="0"/>
    </xf>
    <xf numFmtId="3" fontId="40" fillId="0" borderId="32" xfId="0" applyNumberFormat="1" applyFont="1" applyFill="1" applyBorder="1" applyAlignment="1">
      <alignment horizontal="center"/>
    </xf>
    <xf numFmtId="3" fontId="40" fillId="0" borderId="7" xfId="0" applyNumberFormat="1" applyFont="1" applyFill="1" applyBorder="1" applyAlignment="1">
      <alignment horizontal="center"/>
    </xf>
    <xf numFmtId="3" fontId="40" fillId="0" borderId="53" xfId="0" applyNumberFormat="1" applyFont="1" applyFill="1" applyBorder="1" applyAlignment="1">
      <alignment horizontal="center"/>
    </xf>
    <xf numFmtId="3" fontId="40" fillId="0" borderId="52" xfId="0" applyNumberFormat="1" applyFont="1" applyFill="1" applyBorder="1" applyAlignment="1">
      <alignment horizontal="center"/>
    </xf>
    <xf numFmtId="3" fontId="38" fillId="32" borderId="23" xfId="49" applyNumberFormat="1" applyFont="1" applyFill="1" applyBorder="1" applyAlignment="1" applyProtection="1">
      <alignment horizontal="center"/>
      <protection locked="0"/>
    </xf>
    <xf numFmtId="3" fontId="38" fillId="32" borderId="56" xfId="49" applyNumberFormat="1" applyFont="1" applyFill="1" applyBorder="1" applyAlignment="1" applyProtection="1">
      <alignment horizontal="center"/>
      <protection locked="0"/>
    </xf>
    <xf numFmtId="3" fontId="38" fillId="32" borderId="77" xfId="49" applyNumberFormat="1" applyFont="1" applyFill="1" applyBorder="1" applyAlignment="1" applyProtection="1">
      <alignment horizontal="center"/>
      <protection locked="0"/>
    </xf>
    <xf numFmtId="3" fontId="38" fillId="32" borderId="57" xfId="49" applyNumberFormat="1" applyFont="1" applyFill="1" applyBorder="1" applyAlignment="1" applyProtection="1">
      <alignment horizontal="center"/>
      <protection locked="0"/>
    </xf>
    <xf numFmtId="3" fontId="38" fillId="32" borderId="28" xfId="49" applyNumberFormat="1" applyFont="1" applyFill="1" applyBorder="1" applyAlignment="1" applyProtection="1">
      <alignment horizontal="center"/>
      <protection locked="0"/>
    </xf>
    <xf numFmtId="3" fontId="38" fillId="32" borderId="79" xfId="49" applyNumberFormat="1" applyFont="1" applyFill="1" applyBorder="1" applyAlignment="1" applyProtection="1">
      <alignment horizontal="center"/>
      <protection locked="0"/>
    </xf>
    <xf numFmtId="3" fontId="40" fillId="0" borderId="56" xfId="0" applyNumberFormat="1" applyFont="1" applyFill="1" applyBorder="1" applyAlignment="1">
      <alignment horizontal="center"/>
    </xf>
    <xf numFmtId="3" fontId="40" fillId="0" borderId="77" xfId="0" applyNumberFormat="1" applyFont="1" applyFill="1" applyBorder="1" applyAlignment="1">
      <alignment horizontal="center"/>
    </xf>
    <xf numFmtId="3" fontId="40" fillId="0" borderId="57" xfId="0" applyNumberFormat="1" applyFont="1" applyFill="1" applyBorder="1" applyAlignment="1">
      <alignment horizontal="center"/>
    </xf>
    <xf numFmtId="3" fontId="4" fillId="0" borderId="0" xfId="0" applyNumberFormat="1" applyFont="1" applyFill="1" applyBorder="1" applyAlignment="1">
      <alignment horizontal="center"/>
    </xf>
    <xf numFmtId="0" fontId="51" fillId="0" borderId="0" xfId="0" applyFont="1" applyAlignment="1">
      <alignment horizontal="center"/>
    </xf>
    <xf numFmtId="2" fontId="32" fillId="0" borderId="0" xfId="0" applyNumberFormat="1" applyFont="1" applyAlignment="1">
      <alignment horizontal="center"/>
    </xf>
    <xf numFmtId="1" fontId="32" fillId="0" borderId="0" xfId="0" applyNumberFormat="1" applyFont="1" applyFill="1" applyAlignment="1">
      <alignment horizontal="center"/>
    </xf>
    <xf numFmtId="0" fontId="20" fillId="0" borderId="0" xfId="0" applyFont="1" applyAlignment="1">
      <alignment horizontal="center"/>
    </xf>
    <xf numFmtId="0" fontId="4" fillId="0" borderId="11" xfId="0" applyFont="1" applyBorder="1" applyAlignment="1">
      <alignment horizontal="center"/>
    </xf>
    <xf numFmtId="0" fontId="4" fillId="0" borderId="41" xfId="0" applyFont="1" applyBorder="1" applyAlignment="1">
      <alignment horizontal="center"/>
    </xf>
    <xf numFmtId="0" fontId="4" fillId="0" borderId="0" xfId="0" applyFont="1" applyBorder="1" applyAlignment="1">
      <alignment horizontal="center"/>
    </xf>
    <xf numFmtId="49" fontId="4" fillId="30" borderId="0" xfId="0" applyNumberFormat="1" applyFont="1" applyFill="1" applyAlignment="1">
      <alignment horizontal="center"/>
    </xf>
    <xf numFmtId="49" fontId="13" fillId="30" borderId="0" xfId="0" applyNumberFormat="1" applyFont="1" applyFill="1" applyAlignment="1">
      <alignment horizontal="center"/>
    </xf>
    <xf numFmtId="0" fontId="36" fillId="30" borderId="0" xfId="0" applyFont="1" applyFill="1" applyAlignment="1">
      <alignment horizontal="center"/>
    </xf>
    <xf numFmtId="3" fontId="40" fillId="0" borderId="32" xfId="0" applyNumberFormat="1" applyFont="1" applyFill="1" applyBorder="1" applyAlignment="1">
      <alignment horizontal="center" vertical="center"/>
    </xf>
    <xf numFmtId="3" fontId="40" fillId="0" borderId="7" xfId="0" applyNumberFormat="1" applyFont="1" applyFill="1" applyBorder="1" applyAlignment="1">
      <alignment horizontal="center" vertical="center"/>
    </xf>
    <xf numFmtId="3" fontId="40" fillId="0" borderId="53" xfId="0" applyNumberFormat="1" applyFont="1" applyFill="1" applyBorder="1" applyAlignment="1">
      <alignment horizontal="center" vertical="center"/>
    </xf>
    <xf numFmtId="3" fontId="40" fillId="0" borderId="52" xfId="0" applyNumberFormat="1" applyFont="1" applyFill="1" applyBorder="1" applyAlignment="1">
      <alignment horizontal="center" vertical="center"/>
    </xf>
    <xf numFmtId="0" fontId="12" fillId="30" borderId="0" xfId="32" applyFont="1" applyFill="1" applyAlignment="1" applyProtection="1">
      <alignment vertical="center" wrapText="1"/>
    </xf>
    <xf numFmtId="3" fontId="4" fillId="3" borderId="55" xfId="32" applyNumberFormat="1" applyFont="1" applyFill="1" applyBorder="1" applyAlignment="1" applyProtection="1">
      <alignment horizontal="center" vertical="center"/>
      <protection locked="0"/>
    </xf>
    <xf numFmtId="3" fontId="4" fillId="3" borderId="69" xfId="32" applyNumberFormat="1" applyFont="1" applyFill="1" applyBorder="1" applyAlignment="1" applyProtection="1">
      <alignment horizontal="center" vertical="center"/>
      <protection locked="0"/>
    </xf>
    <xf numFmtId="3" fontId="4" fillId="3" borderId="72"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wrapText="1"/>
      <protection locked="0"/>
    </xf>
    <xf numFmtId="3" fontId="4" fillId="3" borderId="76"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wrapText="1"/>
      <protection locked="0"/>
    </xf>
    <xf numFmtId="3" fontId="4" fillId="3" borderId="53"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wrapText="1"/>
      <protection locked="0"/>
    </xf>
    <xf numFmtId="3" fontId="4" fillId="3" borderId="57"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wrapText="1"/>
      <protection locked="0"/>
    </xf>
    <xf numFmtId="3" fontId="4" fillId="3" borderId="50" xfId="0" applyNumberFormat="1" applyFont="1" applyFill="1" applyBorder="1" applyAlignment="1" applyProtection="1">
      <alignment horizontal="center" vertical="center" wrapText="1"/>
      <protection locked="0"/>
    </xf>
    <xf numFmtId="3" fontId="4" fillId="3" borderId="62"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3" borderId="7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wrapText="1"/>
      <protection locked="0"/>
    </xf>
    <xf numFmtId="172" fontId="4" fillId="3" borderId="32" xfId="0" applyNumberFormat="1" applyFont="1" applyFill="1" applyBorder="1" applyAlignment="1" applyProtection="1">
      <alignment horizontal="center" vertical="center" wrapText="1"/>
      <protection locked="0"/>
    </xf>
    <xf numFmtId="172" fontId="4" fillId="3" borderId="7" xfId="0" applyNumberFormat="1" applyFont="1" applyFill="1" applyBorder="1" applyAlignment="1" applyProtection="1">
      <alignment horizontal="center" vertical="center" wrapText="1"/>
      <protection locked="0"/>
    </xf>
    <xf numFmtId="172" fontId="4" fillId="3" borderId="53"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protection locked="0"/>
    </xf>
    <xf numFmtId="10" fontId="4" fillId="22" borderId="12" xfId="1" applyNumberFormat="1" applyFont="1" applyFill="1" applyBorder="1" applyAlignment="1">
      <alignment horizontal="center" vertical="center"/>
    </xf>
    <xf numFmtId="10" fontId="4" fillId="22" borderId="107" xfId="1" applyNumberFormat="1" applyFont="1" applyFill="1" applyBorder="1" applyAlignment="1">
      <alignment horizontal="center" vertical="center"/>
    </xf>
    <xf numFmtId="2" fontId="4" fillId="22" borderId="12" xfId="1" applyNumberFormat="1" applyFont="1" applyFill="1" applyBorder="1" applyAlignment="1">
      <alignment horizontal="center" vertical="center"/>
    </xf>
    <xf numFmtId="2" fontId="4" fillId="22" borderId="107" xfId="1" applyNumberFormat="1" applyFont="1" applyFill="1" applyBorder="1" applyAlignment="1">
      <alignment horizontal="center" vertical="center"/>
    </xf>
    <xf numFmtId="2" fontId="4" fillId="22" borderId="83" xfId="1" applyNumberFormat="1" applyFont="1" applyFill="1" applyBorder="1" applyAlignment="1">
      <alignment horizontal="center" vertical="center"/>
    </xf>
    <xf numFmtId="2" fontId="4" fillId="22" borderId="108" xfId="1" applyNumberFormat="1" applyFont="1" applyFill="1" applyBorder="1" applyAlignment="1">
      <alignment horizontal="center" vertical="center"/>
    </xf>
    <xf numFmtId="10" fontId="4" fillId="22" borderId="83" xfId="1" applyNumberFormat="1" applyFont="1" applyFill="1" applyBorder="1" applyAlignment="1">
      <alignment horizontal="center" vertical="center"/>
    </xf>
    <xf numFmtId="10" fontId="4" fillId="22" borderId="108" xfId="1" applyNumberFormat="1" applyFont="1" applyFill="1" applyBorder="1" applyAlignment="1">
      <alignment horizontal="center" vertical="center"/>
    </xf>
    <xf numFmtId="4" fontId="4" fillId="22" borderId="83" xfId="1" applyNumberFormat="1" applyFont="1" applyFill="1" applyBorder="1" applyAlignment="1">
      <alignment horizontal="center" vertical="center"/>
    </xf>
    <xf numFmtId="4" fontId="4" fillId="22" borderId="108" xfId="1" applyNumberFormat="1" applyFont="1" applyFill="1" applyBorder="1" applyAlignment="1">
      <alignment horizontal="center" vertical="center"/>
    </xf>
    <xf numFmtId="4" fontId="4" fillId="22" borderId="12" xfId="1" applyNumberFormat="1" applyFont="1" applyFill="1" applyBorder="1" applyAlignment="1">
      <alignment horizontal="center" vertical="center"/>
    </xf>
    <xf numFmtId="4" fontId="4" fillId="22" borderId="107" xfId="1" applyNumberFormat="1" applyFont="1" applyFill="1" applyBorder="1" applyAlignment="1">
      <alignment horizontal="center" vertical="center"/>
    </xf>
    <xf numFmtId="169" fontId="4" fillId="22" borderId="12" xfId="1" applyNumberFormat="1" applyFont="1" applyFill="1" applyBorder="1" applyAlignment="1">
      <alignment horizontal="center" vertical="center"/>
    </xf>
    <xf numFmtId="169" fontId="4" fillId="22" borderId="107" xfId="1" applyNumberFormat="1" applyFont="1" applyFill="1" applyBorder="1" applyAlignment="1">
      <alignment horizontal="center" vertical="center"/>
    </xf>
    <xf numFmtId="2" fontId="4" fillId="22" borderId="84" xfId="1" applyNumberFormat="1" applyFont="1" applyFill="1" applyBorder="1" applyAlignment="1">
      <alignment horizontal="center" vertical="center"/>
    </xf>
    <xf numFmtId="2" fontId="4" fillId="22" borderId="109" xfId="1" applyNumberFormat="1" applyFont="1" applyFill="1" applyBorder="1" applyAlignment="1">
      <alignment horizontal="center" vertical="center"/>
    </xf>
    <xf numFmtId="3" fontId="61" fillId="26" borderId="44" xfId="52" applyNumberFormat="1" applyFont="1" applyFill="1" applyBorder="1" applyAlignment="1" applyProtection="1">
      <alignment horizontal="center" vertical="center" wrapText="1"/>
    </xf>
    <xf numFmtId="3" fontId="61" fillId="26" borderId="31" xfId="52" applyNumberFormat="1" applyFont="1" applyFill="1" applyBorder="1" applyAlignment="1" applyProtection="1">
      <alignment horizontal="center" vertical="center" wrapText="1"/>
    </xf>
    <xf numFmtId="3" fontId="61" fillId="26" borderId="50" xfId="52" applyNumberFormat="1" applyFont="1" applyFill="1" applyBorder="1" applyAlignment="1" applyProtection="1">
      <alignment horizontal="center" vertical="center" wrapText="1"/>
    </xf>
    <xf numFmtId="172" fontId="61" fillId="26" borderId="69" xfId="52" applyNumberFormat="1" applyFont="1" applyFill="1" applyBorder="1" applyAlignment="1" applyProtection="1">
      <alignment horizontal="center" vertical="center" wrapText="1"/>
    </xf>
    <xf numFmtId="172" fontId="61" fillId="26" borderId="63" xfId="52" applyNumberFormat="1" applyFont="1" applyFill="1" applyBorder="1" applyAlignment="1" applyProtection="1">
      <alignment horizontal="center" vertical="center" wrapText="1"/>
    </xf>
    <xf numFmtId="172" fontId="61" fillId="26" borderId="55" xfId="52" applyNumberFormat="1" applyFont="1" applyFill="1" applyBorder="1" applyAlignment="1" applyProtection="1">
      <alignment horizontal="center" vertical="center" wrapText="1"/>
    </xf>
    <xf numFmtId="3" fontId="61" fillId="34" borderId="72" xfId="52" applyNumberFormat="1" applyFont="1" applyFill="1" applyBorder="1" applyAlignment="1" applyProtection="1">
      <alignment horizontal="center" vertical="center"/>
    </xf>
    <xf numFmtId="3" fontId="61" fillId="34" borderId="14" xfId="52" applyNumberFormat="1" applyFont="1" applyFill="1" applyBorder="1" applyAlignment="1" applyProtection="1">
      <alignment horizontal="center" vertical="center"/>
    </xf>
    <xf numFmtId="3" fontId="52" fillId="3" borderId="32" xfId="52" applyNumberFormat="1" applyFont="1" applyFill="1" applyBorder="1" applyAlignment="1" applyProtection="1">
      <alignment horizontal="center" vertical="center"/>
      <protection locked="0"/>
    </xf>
    <xf numFmtId="3" fontId="52" fillId="3" borderId="15" xfId="52" applyNumberFormat="1" applyFont="1" applyFill="1" applyBorder="1" applyAlignment="1" applyProtection="1">
      <alignment horizontal="center" vertical="center"/>
      <protection locked="0"/>
    </xf>
    <xf numFmtId="3" fontId="52" fillId="3" borderId="7" xfId="52" applyNumberFormat="1" applyFont="1" applyFill="1" applyBorder="1" applyAlignment="1" applyProtection="1">
      <alignment horizontal="center" vertical="center"/>
      <protection locked="0"/>
    </xf>
    <xf numFmtId="3" fontId="52" fillId="3" borderId="53" xfId="52" applyNumberFormat="1" applyFont="1" applyFill="1" applyBorder="1" applyAlignment="1" applyProtection="1">
      <alignment horizontal="center" vertical="center"/>
      <protection locked="0"/>
    </xf>
    <xf numFmtId="3" fontId="52" fillId="3" borderId="79" xfId="52" applyNumberFormat="1" applyFont="1" applyFill="1" applyBorder="1" applyAlignment="1" applyProtection="1">
      <alignment horizontal="center" vertical="center"/>
      <protection locked="0"/>
    </xf>
    <xf numFmtId="3" fontId="52" fillId="3" borderId="77" xfId="52" applyNumberFormat="1" applyFont="1" applyFill="1" applyBorder="1" applyAlignment="1" applyProtection="1">
      <alignment horizontal="center" vertical="center"/>
      <protection locked="0"/>
    </xf>
    <xf numFmtId="3" fontId="52" fillId="3" borderId="57" xfId="52" applyNumberFormat="1" applyFont="1" applyFill="1" applyBorder="1" applyAlignment="1" applyProtection="1">
      <alignment horizontal="center" vertical="center"/>
      <protection locked="0"/>
    </xf>
    <xf numFmtId="3" fontId="61" fillId="34" borderId="44" xfId="52" applyNumberFormat="1" applyFont="1" applyFill="1" applyBorder="1" applyAlignment="1" applyProtection="1">
      <alignment horizontal="center" vertical="center"/>
    </xf>
    <xf numFmtId="3" fontId="61" fillId="34" borderId="31" xfId="52" applyNumberFormat="1" applyFont="1" applyFill="1" applyBorder="1" applyAlignment="1" applyProtection="1">
      <alignment horizontal="center" vertical="center"/>
    </xf>
    <xf numFmtId="3" fontId="61" fillId="34" borderId="50" xfId="52" applyNumberFormat="1" applyFont="1" applyFill="1" applyBorder="1" applyAlignment="1" applyProtection="1">
      <alignment horizontal="center" vertical="center"/>
    </xf>
    <xf numFmtId="172" fontId="61" fillId="34" borderId="69" xfId="52" applyNumberFormat="1" applyFont="1" applyFill="1" applyBorder="1" applyAlignment="1" applyProtection="1">
      <alignment horizontal="center" vertical="center"/>
    </xf>
    <xf numFmtId="172" fontId="61" fillId="34" borderId="63" xfId="52" applyNumberFormat="1" applyFont="1" applyFill="1" applyBorder="1" applyAlignment="1" applyProtection="1">
      <alignment horizontal="center" vertical="center"/>
    </xf>
    <xf numFmtId="172" fontId="61" fillId="34" borderId="55" xfId="52" applyNumberFormat="1" applyFont="1" applyFill="1" applyBorder="1" applyAlignment="1" applyProtection="1">
      <alignment horizontal="center" vertical="center"/>
    </xf>
    <xf numFmtId="3" fontId="61" fillId="30" borderId="72" xfId="52" applyNumberFormat="1" applyFont="1" applyFill="1" applyBorder="1" applyAlignment="1" applyProtection="1">
      <alignment horizontal="center" vertical="center"/>
    </xf>
    <xf numFmtId="3" fontId="61" fillId="30" borderId="73" xfId="52" applyNumberFormat="1" applyFont="1" applyFill="1" applyBorder="1" applyAlignment="1" applyProtection="1">
      <alignment horizontal="center" vertical="center"/>
    </xf>
    <xf numFmtId="3" fontId="61" fillId="30" borderId="76" xfId="52" applyNumberFormat="1" applyFont="1" applyFill="1" applyBorder="1" applyAlignment="1" applyProtection="1">
      <alignment horizontal="center" vertical="center"/>
    </xf>
    <xf numFmtId="172" fontId="61" fillId="30" borderId="32" xfId="52" applyNumberFormat="1" applyFont="1" applyFill="1" applyBorder="1" applyAlignment="1" applyProtection="1">
      <alignment horizontal="center" vertical="center"/>
    </xf>
    <xf numFmtId="172" fontId="61" fillId="30" borderId="7" xfId="52" applyNumberFormat="1" applyFont="1" applyFill="1" applyBorder="1" applyAlignment="1" applyProtection="1">
      <alignment horizontal="center" vertical="center"/>
    </xf>
    <xf numFmtId="172" fontId="61" fillId="30" borderId="53" xfId="52" applyNumberFormat="1" applyFont="1" applyFill="1" applyBorder="1" applyAlignment="1" applyProtection="1">
      <alignment horizontal="center" vertical="center"/>
    </xf>
    <xf numFmtId="3" fontId="61" fillId="30" borderId="32" xfId="52" applyNumberFormat="1" applyFont="1" applyFill="1" applyBorder="1" applyAlignment="1" applyProtection="1">
      <alignment horizontal="center" vertical="center"/>
    </xf>
    <xf numFmtId="3" fontId="61" fillId="30" borderId="7" xfId="52" applyNumberFormat="1" applyFont="1" applyFill="1" applyBorder="1" applyAlignment="1" applyProtection="1">
      <alignment horizontal="center" vertical="center"/>
    </xf>
    <xf numFmtId="3" fontId="61" fillId="30" borderId="53" xfId="52" applyNumberFormat="1" applyFont="1" applyFill="1" applyBorder="1" applyAlignment="1" applyProtection="1">
      <alignment horizontal="center" vertical="center"/>
    </xf>
    <xf numFmtId="3" fontId="61" fillId="30" borderId="44" xfId="52" applyNumberFormat="1" applyFont="1" applyFill="1" applyBorder="1" applyAlignment="1" applyProtection="1">
      <alignment horizontal="center" vertical="center"/>
    </xf>
    <xf numFmtId="3" fontId="61" fillId="30" borderId="31" xfId="52" applyNumberFormat="1" applyFont="1" applyFill="1" applyBorder="1" applyAlignment="1" applyProtection="1">
      <alignment horizontal="center" vertical="center"/>
    </xf>
    <xf numFmtId="3" fontId="61" fillId="30" borderId="50" xfId="52" applyNumberFormat="1" applyFont="1" applyFill="1" applyBorder="1" applyAlignment="1" applyProtection="1">
      <alignment horizontal="center" vertical="center"/>
    </xf>
    <xf numFmtId="10" fontId="61" fillId="30" borderId="32" xfId="52" applyNumberFormat="1" applyFont="1" applyFill="1" applyBorder="1" applyAlignment="1" applyProtection="1">
      <alignment horizontal="center" vertical="center"/>
    </xf>
    <xf numFmtId="10" fontId="61" fillId="30" borderId="7" xfId="52" applyNumberFormat="1" applyFont="1" applyFill="1" applyBorder="1" applyAlignment="1" applyProtection="1">
      <alignment horizontal="center" vertical="center"/>
    </xf>
    <xf numFmtId="10" fontId="61" fillId="30" borderId="53" xfId="52" applyNumberFormat="1" applyFont="1" applyFill="1" applyBorder="1" applyAlignment="1" applyProtection="1">
      <alignment horizontal="center" vertical="center"/>
    </xf>
    <xf numFmtId="3" fontId="52" fillId="3" borderId="19" xfId="52" applyNumberFormat="1" applyFont="1" applyFill="1" applyBorder="1" applyAlignment="1" applyProtection="1">
      <alignment horizontal="center" vertical="center"/>
      <protection locked="0"/>
    </xf>
    <xf numFmtId="3" fontId="61" fillId="34" borderId="73" xfId="52" applyNumberFormat="1" applyFont="1" applyFill="1" applyBorder="1" applyAlignment="1" applyProtection="1">
      <alignment horizontal="center" vertical="center"/>
    </xf>
    <xf numFmtId="3" fontId="61" fillId="34" borderId="76" xfId="52" applyNumberFormat="1" applyFont="1" applyFill="1" applyBorder="1" applyAlignment="1" applyProtection="1">
      <alignment horizontal="center" vertical="center"/>
    </xf>
    <xf numFmtId="172" fontId="61" fillId="34" borderId="32" xfId="52" applyNumberFormat="1" applyFont="1" applyFill="1" applyBorder="1" applyAlignment="1" applyProtection="1">
      <alignment horizontal="center" vertical="center"/>
    </xf>
    <xf numFmtId="172" fontId="61" fillId="34" borderId="7" xfId="52" applyNumberFormat="1" applyFont="1" applyFill="1" applyBorder="1" applyAlignment="1" applyProtection="1">
      <alignment horizontal="center" vertical="center"/>
    </xf>
    <xf numFmtId="172" fontId="61" fillId="34" borderId="53" xfId="52" applyNumberFormat="1" applyFont="1" applyFill="1" applyBorder="1" applyAlignment="1" applyProtection="1">
      <alignment horizontal="center" vertical="center"/>
    </xf>
    <xf numFmtId="4" fontId="61" fillId="34" borderId="69" xfId="52" applyNumberFormat="1" applyFont="1" applyFill="1" applyBorder="1" applyAlignment="1" applyProtection="1">
      <alignment horizontal="center" vertical="center"/>
    </xf>
    <xf numFmtId="4" fontId="61" fillId="34" borderId="63" xfId="52" applyNumberFormat="1" applyFont="1" applyFill="1" applyBorder="1" applyAlignment="1" applyProtection="1">
      <alignment horizontal="center" vertical="center"/>
    </xf>
    <xf numFmtId="4" fontId="61" fillId="34" borderId="55" xfId="52" applyNumberFormat="1" applyFont="1" applyFill="1" applyBorder="1" applyAlignment="1" applyProtection="1">
      <alignment horizontal="center" vertical="center"/>
    </xf>
    <xf numFmtId="3" fontId="61" fillId="29" borderId="72" xfId="52" applyNumberFormat="1" applyFont="1" applyFill="1" applyBorder="1" applyAlignment="1" applyProtection="1">
      <alignment horizontal="center" vertical="center"/>
    </xf>
    <xf numFmtId="3" fontId="61" fillId="29" borderId="73" xfId="52" applyNumberFormat="1" applyFont="1" applyFill="1" applyBorder="1" applyAlignment="1" applyProtection="1">
      <alignment horizontal="center" vertical="center"/>
    </xf>
    <xf numFmtId="3" fontId="61" fillId="29" borderId="76" xfId="52" applyNumberFormat="1" applyFont="1" applyFill="1" applyBorder="1" applyAlignment="1" applyProtection="1">
      <alignment horizontal="center" vertical="center"/>
    </xf>
    <xf numFmtId="172" fontId="61" fillId="29" borderId="32" xfId="52" applyNumberFormat="1" applyFont="1" applyFill="1" applyBorder="1" applyAlignment="1" applyProtection="1">
      <alignment horizontal="center" vertical="center"/>
    </xf>
    <xf numFmtId="172" fontId="61" fillId="29" borderId="7" xfId="52" applyNumberFormat="1" applyFont="1" applyFill="1" applyBorder="1" applyAlignment="1" applyProtection="1">
      <alignment horizontal="center" vertical="center"/>
    </xf>
    <xf numFmtId="172" fontId="61" fillId="29" borderId="53" xfId="52" applyNumberFormat="1" applyFont="1" applyFill="1" applyBorder="1" applyAlignment="1" applyProtection="1">
      <alignment horizontal="center" vertical="center"/>
    </xf>
    <xf numFmtId="4" fontId="61" fillId="34" borderId="32" xfId="52" applyNumberFormat="1" applyFont="1" applyFill="1" applyBorder="1" applyAlignment="1" applyProtection="1">
      <alignment horizontal="center" vertical="center"/>
    </xf>
    <xf numFmtId="4" fontId="61" fillId="34" borderId="7" xfId="52" applyNumberFormat="1" applyFont="1" applyFill="1" applyBorder="1" applyAlignment="1" applyProtection="1">
      <alignment horizontal="center" vertical="center"/>
    </xf>
    <xf numFmtId="4" fontId="61" fillId="34" borderId="53" xfId="52" applyNumberFormat="1" applyFont="1" applyFill="1" applyBorder="1" applyAlignment="1" applyProtection="1">
      <alignment horizontal="center" vertical="center"/>
    </xf>
    <xf numFmtId="3" fontId="109" fillId="34" borderId="79" xfId="52" applyNumberFormat="1" applyFont="1" applyFill="1" applyBorder="1" applyAlignment="1" applyProtection="1">
      <alignment horizontal="center" vertical="center"/>
    </xf>
    <xf numFmtId="3" fontId="109" fillId="34" borderId="77" xfId="52" applyNumberFormat="1" applyFont="1" applyFill="1" applyBorder="1" applyAlignment="1" applyProtection="1">
      <alignment horizontal="center" vertical="center"/>
    </xf>
    <xf numFmtId="3" fontId="109" fillId="34" borderId="57" xfId="52" applyNumberFormat="1" applyFont="1" applyFill="1" applyBorder="1" applyAlignment="1" applyProtection="1">
      <alignment horizontal="center" vertical="center"/>
    </xf>
    <xf numFmtId="1" fontId="84" fillId="25" borderId="8" xfId="52" applyNumberFormat="1" applyFont="1" applyFill="1" applyBorder="1" applyAlignment="1">
      <alignment horizontal="center" vertical="center"/>
    </xf>
    <xf numFmtId="1" fontId="84" fillId="25" borderId="3" xfId="52" applyNumberFormat="1" applyFont="1" applyFill="1" applyBorder="1" applyAlignment="1">
      <alignment horizontal="center" vertical="center"/>
    </xf>
    <xf numFmtId="3" fontId="61" fillId="30" borderId="32" xfId="52" applyNumberFormat="1" applyFont="1" applyFill="1" applyBorder="1" applyAlignment="1">
      <alignment horizontal="center" vertical="center"/>
    </xf>
    <xf numFmtId="3" fontId="61" fillId="30" borderId="7" xfId="52" applyNumberFormat="1" applyFont="1" applyFill="1" applyBorder="1" applyAlignment="1">
      <alignment horizontal="center" vertical="center"/>
    </xf>
    <xf numFmtId="3" fontId="61" fillId="30" borderId="53" xfId="52" applyNumberFormat="1" applyFont="1" applyFill="1" applyBorder="1" applyAlignment="1">
      <alignment horizontal="center" vertical="center"/>
    </xf>
    <xf numFmtId="3" fontId="34" fillId="32" borderId="52" xfId="49" applyNumberFormat="1" applyFont="1" applyFill="1" applyBorder="1" applyAlignment="1" applyProtection="1">
      <alignment horizontal="center" vertical="center"/>
      <protection locked="0"/>
    </xf>
    <xf numFmtId="3" fontId="34" fillId="32" borderId="7" xfId="49" applyNumberFormat="1" applyFont="1" applyFill="1" applyBorder="1" applyAlignment="1" applyProtection="1">
      <alignment horizontal="center" vertical="center"/>
      <protection locked="0"/>
    </xf>
    <xf numFmtId="3" fontId="34" fillId="32" borderId="53" xfId="49" applyNumberFormat="1" applyFont="1" applyFill="1" applyBorder="1" applyAlignment="1" applyProtection="1">
      <alignment horizontal="center" vertical="center"/>
      <protection locked="0"/>
    </xf>
    <xf numFmtId="3" fontId="34" fillId="32" borderId="77" xfId="49" applyNumberFormat="1" applyFont="1" applyFill="1" applyBorder="1" applyAlignment="1" applyProtection="1">
      <alignment horizontal="center" vertical="center"/>
      <protection locked="0"/>
    </xf>
    <xf numFmtId="3" fontId="34" fillId="32" borderId="57" xfId="49" applyNumberFormat="1" applyFont="1" applyFill="1" applyBorder="1" applyAlignment="1" applyProtection="1">
      <alignment horizontal="center" vertical="center"/>
      <protection locked="0"/>
    </xf>
    <xf numFmtId="3" fontId="52" fillId="25" borderId="8" xfId="52" applyNumberFormat="1" applyFont="1" applyFill="1" applyBorder="1" applyAlignment="1">
      <alignment horizontal="center" vertical="center"/>
    </xf>
    <xf numFmtId="3" fontId="52" fillId="25" borderId="3" xfId="52" applyNumberFormat="1" applyFont="1" applyFill="1" applyBorder="1" applyAlignment="1">
      <alignment horizontal="center" vertical="center"/>
    </xf>
    <xf numFmtId="9" fontId="34" fillId="3" borderId="24" xfId="32" applyNumberFormat="1" applyFont="1" applyFill="1" applyBorder="1" applyAlignment="1" applyProtection="1">
      <alignment horizontal="center" vertical="center"/>
      <protection locked="0"/>
    </xf>
    <xf numFmtId="9" fontId="34" fillId="3" borderId="17" xfId="32" applyNumberFormat="1" applyFont="1" applyFill="1" applyBorder="1" applyAlignment="1" applyProtection="1">
      <alignment horizontal="center" vertical="center"/>
      <protection locked="0"/>
    </xf>
    <xf numFmtId="3" fontId="34" fillId="31" borderId="24" xfId="32" applyNumberFormat="1" applyFont="1" applyFill="1" applyBorder="1" applyAlignment="1" applyProtection="1">
      <alignment horizontal="center" vertical="center"/>
      <protection locked="0"/>
    </xf>
    <xf numFmtId="14" fontId="34" fillId="30" borderId="0" xfId="32" applyNumberFormat="1" applyFont="1" applyFill="1" applyBorder="1" applyAlignment="1">
      <alignment wrapText="1"/>
    </xf>
    <xf numFmtId="0" fontId="13" fillId="30" borderId="0" xfId="32" applyFont="1" applyFill="1" applyBorder="1" applyAlignment="1"/>
    <xf numFmtId="0" fontId="36" fillId="30" borderId="0" xfId="32" applyFont="1" applyFill="1" applyBorder="1" applyAlignment="1">
      <alignment horizontal="center" wrapText="1"/>
    </xf>
    <xf numFmtId="0" fontId="36" fillId="29" borderId="0" xfId="0" applyFont="1" applyFill="1" applyAlignment="1">
      <alignment horizontal="center"/>
    </xf>
    <xf numFmtId="0" fontId="13" fillId="29" borderId="0" xfId="0" applyFont="1" applyFill="1"/>
    <xf numFmtId="9" fontId="13" fillId="24" borderId="50" xfId="0" applyNumberFormat="1" applyFont="1" applyFill="1" applyBorder="1" applyAlignment="1">
      <alignment horizontal="center" vertical="center"/>
    </xf>
    <xf numFmtId="9" fontId="13" fillId="24" borderId="53" xfId="0" applyNumberFormat="1" applyFont="1" applyFill="1" applyBorder="1" applyAlignment="1">
      <alignment horizontal="center" vertical="center"/>
    </xf>
    <xf numFmtId="0" fontId="13" fillId="24" borderId="53" xfId="0" applyFont="1" applyFill="1" applyBorder="1" applyAlignment="1">
      <alignment horizontal="center" vertical="center"/>
    </xf>
    <xf numFmtId="10" fontId="13" fillId="24" borderId="53" xfId="0" applyNumberFormat="1" applyFont="1" applyFill="1" applyBorder="1" applyAlignment="1">
      <alignment horizontal="center" vertical="center"/>
    </xf>
    <xf numFmtId="0" fontId="13" fillId="24" borderId="57" xfId="0" applyFont="1" applyFill="1" applyBorder="1" applyAlignment="1">
      <alignment horizontal="center" vertical="center"/>
    </xf>
    <xf numFmtId="0" fontId="7" fillId="30" borderId="0" xfId="49" applyFont="1" applyFill="1" applyAlignment="1">
      <alignment wrapText="1"/>
    </xf>
    <xf numFmtId="0" fontId="12" fillId="30" borderId="0" xfId="49" applyFont="1" applyFill="1" applyBorder="1" applyAlignment="1">
      <alignment vertical="center"/>
    </xf>
    <xf numFmtId="0" fontId="7" fillId="30" borderId="0" xfId="49" applyFont="1" applyFill="1" applyAlignment="1" applyProtection="1">
      <alignment wrapText="1"/>
    </xf>
    <xf numFmtId="0" fontId="12" fillId="30" borderId="0" xfId="49" applyFont="1" applyFill="1" applyBorder="1" applyAlignment="1"/>
    <xf numFmtId="0" fontId="13" fillId="35" borderId="1" xfId="49" applyFont="1" applyFill="1" applyBorder="1" applyAlignment="1">
      <alignment vertical="center" wrapText="1"/>
    </xf>
    <xf numFmtId="0" fontId="13" fillId="35" borderId="8" xfId="49" applyFont="1" applyFill="1" applyBorder="1" applyAlignment="1">
      <alignment vertical="center" wrapText="1"/>
    </xf>
    <xf numFmtId="0" fontId="13" fillId="35" borderId="3" xfId="49" applyFont="1" applyFill="1" applyBorder="1" applyAlignment="1">
      <alignment vertical="center" wrapText="1"/>
    </xf>
    <xf numFmtId="1" fontId="13" fillId="42" borderId="60" xfId="21" applyFont="1" applyFill="1" applyBorder="1">
      <alignment horizontal="center" vertical="center" wrapText="1"/>
    </xf>
    <xf numFmtId="3" fontId="13" fillId="30" borderId="74" xfId="49" applyNumberFormat="1" applyFont="1" applyFill="1" applyBorder="1" applyAlignment="1">
      <alignment horizontal="center" vertical="center" wrapText="1"/>
    </xf>
    <xf numFmtId="3" fontId="13" fillId="30" borderId="62" xfId="49" applyNumberFormat="1" applyFont="1" applyFill="1" applyBorder="1" applyAlignment="1">
      <alignment horizontal="center" vertical="center"/>
    </xf>
    <xf numFmtId="3" fontId="4" fillId="36" borderId="62" xfId="49" applyNumberFormat="1" applyFont="1" applyFill="1" applyBorder="1" applyAlignment="1">
      <alignment horizontal="center" vertical="center"/>
    </xf>
    <xf numFmtId="3" fontId="13" fillId="21" borderId="62" xfId="49" applyNumberFormat="1" applyFont="1" applyFill="1" applyBorder="1" applyAlignment="1">
      <alignment horizontal="center" vertical="center"/>
    </xf>
    <xf numFmtId="3" fontId="13" fillId="34" borderId="60" xfId="49" applyNumberFormat="1" applyFont="1" applyFill="1" applyBorder="1" applyAlignment="1">
      <alignment horizontal="center" wrapText="1"/>
    </xf>
    <xf numFmtId="3" fontId="13" fillId="36" borderId="62" xfId="49" applyNumberFormat="1" applyFont="1" applyFill="1" applyBorder="1" applyAlignment="1">
      <alignment horizontal="center" vertical="center"/>
    </xf>
    <xf numFmtId="3" fontId="13" fillId="30" borderId="62" xfId="49" applyNumberFormat="1" applyFont="1" applyFill="1" applyBorder="1" applyAlignment="1">
      <alignment horizontal="center" vertical="center" wrapText="1"/>
    </xf>
    <xf numFmtId="3" fontId="13" fillId="30" borderId="78" xfId="49" applyNumberFormat="1" applyFont="1" applyFill="1" applyBorder="1" applyAlignment="1">
      <alignment horizontal="center" vertical="center" wrapText="1"/>
    </xf>
    <xf numFmtId="3" fontId="33" fillId="34" borderId="1" xfId="49" applyNumberFormat="1" applyFont="1" applyFill="1" applyBorder="1" applyAlignment="1">
      <alignment horizontal="center" wrapText="1"/>
    </xf>
    <xf numFmtId="170" fontId="33" fillId="40" borderId="43" xfId="49" applyNumberFormat="1" applyFont="1" applyFill="1" applyBorder="1" applyAlignment="1" applyProtection="1">
      <alignment horizontal="center" wrapText="1"/>
    </xf>
    <xf numFmtId="167" fontId="33" fillId="26" borderId="3" xfId="49" applyNumberFormat="1" applyFont="1" applyFill="1" applyBorder="1" applyAlignment="1" applyProtection="1">
      <alignment horizontal="center" vertical="center" wrapText="1"/>
    </xf>
    <xf numFmtId="0" fontId="34" fillId="0" borderId="53" xfId="31" applyFont="1" applyFill="1" applyBorder="1" applyAlignment="1" applyProtection="1">
      <alignment vertical="center" wrapText="1"/>
    </xf>
    <xf numFmtId="0" fontId="33" fillId="0" borderId="1" xfId="31" applyFont="1" applyFill="1" applyBorder="1" applyAlignment="1" applyProtection="1">
      <alignment horizontal="center" vertical="center" wrapText="1"/>
    </xf>
    <xf numFmtId="0" fontId="33" fillId="0" borderId="3" xfId="31" applyFont="1" applyFill="1" applyBorder="1" applyAlignment="1" applyProtection="1">
      <alignment horizontal="center" vertical="center" wrapText="1"/>
    </xf>
    <xf numFmtId="173" fontId="33" fillId="40" borderId="56" xfId="31" applyNumberFormat="1" applyFont="1" applyFill="1" applyBorder="1" applyAlignment="1">
      <alignment horizontal="center" vertical="center"/>
    </xf>
    <xf numFmtId="173" fontId="33" fillId="40" borderId="77" xfId="31" applyNumberFormat="1" applyFont="1" applyFill="1" applyBorder="1" applyAlignment="1">
      <alignment horizontal="center" vertical="center"/>
    </xf>
    <xf numFmtId="173" fontId="33" fillId="40" borderId="57" xfId="31" applyNumberFormat="1" applyFont="1" applyFill="1" applyBorder="1" applyAlignment="1">
      <alignment horizontal="center" vertical="center"/>
    </xf>
    <xf numFmtId="173" fontId="33" fillId="40" borderId="79" xfId="31" applyNumberFormat="1" applyFont="1" applyFill="1" applyBorder="1" applyAlignment="1">
      <alignment horizontal="center" vertical="center"/>
    </xf>
    <xf numFmtId="173" fontId="33" fillId="40" borderId="69" xfId="31" applyNumberFormat="1" applyFont="1" applyFill="1" applyBorder="1" applyAlignment="1">
      <alignment horizontal="center" vertical="center"/>
    </xf>
    <xf numFmtId="173" fontId="33" fillId="40" borderId="63" xfId="31" applyNumberFormat="1" applyFont="1" applyFill="1" applyBorder="1" applyAlignment="1">
      <alignment horizontal="center" vertical="center"/>
    </xf>
    <xf numFmtId="173" fontId="33" fillId="40" borderId="55" xfId="31" applyNumberFormat="1" applyFont="1" applyFill="1" applyBorder="1" applyAlignment="1">
      <alignment horizontal="center" vertical="center"/>
    </xf>
    <xf numFmtId="3" fontId="34" fillId="30" borderId="72" xfId="49" applyNumberFormat="1" applyFont="1" applyFill="1" applyBorder="1" applyAlignment="1">
      <alignment horizontal="center" vertical="center" wrapText="1"/>
    </xf>
    <xf numFmtId="3" fontId="34" fillId="30" borderId="51" xfId="49" applyNumberFormat="1" applyFont="1" applyFill="1" applyBorder="1" applyAlignment="1">
      <alignment horizontal="center" vertical="center" wrapText="1"/>
    </xf>
    <xf numFmtId="3" fontId="34" fillId="30" borderId="17" xfId="49" applyNumberFormat="1" applyFont="1" applyFill="1" applyBorder="1" applyAlignment="1">
      <alignment horizontal="center" vertical="center" wrapText="1"/>
    </xf>
    <xf numFmtId="3" fontId="33" fillId="30" borderId="5" xfId="49" applyNumberFormat="1" applyFont="1" applyFill="1" applyBorder="1" applyAlignment="1">
      <alignment horizontal="center" vertical="center" wrapText="1"/>
    </xf>
    <xf numFmtId="3" fontId="34" fillId="30" borderId="21" xfId="49" applyNumberFormat="1" applyFont="1" applyFill="1" applyBorder="1" applyAlignment="1">
      <alignment horizontal="center" vertical="center" wrapText="1"/>
    </xf>
    <xf numFmtId="3" fontId="34" fillId="30" borderId="74" xfId="49" applyNumberFormat="1" applyFont="1" applyFill="1" applyBorder="1" applyAlignment="1">
      <alignment horizontal="center" vertical="center" wrapText="1"/>
    </xf>
    <xf numFmtId="3" fontId="33" fillId="30" borderId="61" xfId="49" applyNumberFormat="1" applyFont="1" applyFill="1" applyBorder="1" applyAlignment="1">
      <alignment horizontal="center" vertical="center" wrapText="1"/>
    </xf>
    <xf numFmtId="3" fontId="33" fillId="0" borderId="29" xfId="49" applyNumberFormat="1" applyFont="1" applyFill="1" applyBorder="1" applyAlignment="1">
      <alignment horizontal="center" vertical="center" wrapText="1"/>
    </xf>
    <xf numFmtId="3" fontId="33" fillId="30" borderId="24" xfId="49" applyNumberFormat="1" applyFont="1" applyFill="1" applyBorder="1" applyAlignment="1">
      <alignment horizontal="center" vertical="center"/>
    </xf>
    <xf numFmtId="3" fontId="34" fillId="36" borderId="24" xfId="49" applyNumberFormat="1" applyFont="1" applyFill="1" applyBorder="1" applyAlignment="1">
      <alignment horizontal="center" vertical="center"/>
    </xf>
    <xf numFmtId="3" fontId="33" fillId="21" borderId="24" xfId="49" applyNumberFormat="1" applyFont="1" applyFill="1" applyBorder="1" applyAlignment="1">
      <alignment horizontal="center" vertical="center"/>
    </xf>
    <xf numFmtId="170" fontId="33" fillId="40" borderId="30" xfId="49" applyNumberFormat="1" applyFont="1" applyFill="1" applyBorder="1" applyAlignment="1" applyProtection="1">
      <alignment horizontal="center" wrapText="1"/>
    </xf>
    <xf numFmtId="168" fontId="33" fillId="26" borderId="1" xfId="49" applyNumberFormat="1" applyFont="1" applyFill="1" applyBorder="1" applyAlignment="1" applyProtection="1">
      <alignment horizontal="center" vertical="center" wrapText="1"/>
    </xf>
    <xf numFmtId="168" fontId="34" fillId="36" borderId="25" xfId="49" applyNumberFormat="1" applyFont="1" applyFill="1" applyBorder="1" applyAlignment="1" applyProtection="1">
      <alignment horizontal="center" vertical="center" wrapText="1"/>
    </xf>
    <xf numFmtId="167" fontId="33" fillId="26" borderId="122" xfId="49" applyNumberFormat="1" applyFont="1" applyFill="1" applyBorder="1" applyAlignment="1" applyProtection="1">
      <alignment horizontal="center" vertical="center" wrapText="1"/>
    </xf>
    <xf numFmtId="168" fontId="33" fillId="0" borderId="1" xfId="49" applyNumberFormat="1" applyFont="1" applyFill="1" applyBorder="1" applyAlignment="1" applyProtection="1">
      <alignment horizontal="center" vertical="center" wrapText="1"/>
    </xf>
    <xf numFmtId="168" fontId="33" fillId="0" borderId="1" xfId="31" applyNumberFormat="1" applyFont="1" applyFill="1" applyBorder="1" applyAlignment="1" applyProtection="1">
      <alignment horizontal="center" vertical="center" wrapText="1"/>
    </xf>
    <xf numFmtId="168" fontId="34" fillId="36" borderId="72" xfId="49" applyNumberFormat="1" applyFont="1" applyFill="1" applyBorder="1" applyAlignment="1" applyProtection="1">
      <alignment horizontal="center" vertical="center" wrapText="1"/>
    </xf>
    <xf numFmtId="167" fontId="33" fillId="26" borderId="65" xfId="49" applyNumberFormat="1" applyFont="1" applyFill="1" applyBorder="1" applyAlignment="1" applyProtection="1">
      <alignment horizontal="center" vertical="center" wrapText="1"/>
    </xf>
    <xf numFmtId="168" fontId="33" fillId="0" borderId="65" xfId="31" applyNumberFormat="1" applyFont="1" applyFill="1" applyBorder="1" applyAlignment="1" applyProtection="1">
      <alignment horizontal="center" vertical="center" wrapText="1"/>
    </xf>
    <xf numFmtId="170" fontId="33" fillId="40" borderId="2" xfId="49" applyNumberFormat="1" applyFont="1" applyFill="1" applyBorder="1" applyAlignment="1" applyProtection="1">
      <alignment horizontal="center" wrapText="1"/>
    </xf>
    <xf numFmtId="167" fontId="33" fillId="26" borderId="8" xfId="49" applyNumberFormat="1" applyFont="1" applyFill="1" applyBorder="1" applyAlignment="1" applyProtection="1">
      <alignment horizontal="center" vertical="center" wrapText="1"/>
    </xf>
    <xf numFmtId="170" fontId="33" fillId="40" borderId="42" xfId="49" applyNumberFormat="1" applyFont="1" applyFill="1" applyBorder="1" applyAlignment="1" applyProtection="1">
      <alignment horizontal="center" wrapText="1"/>
    </xf>
    <xf numFmtId="168" fontId="33" fillId="26" borderId="123" xfId="49" applyNumberFormat="1" applyFont="1" applyFill="1" applyBorder="1" applyAlignment="1" applyProtection="1">
      <alignment horizontal="center" vertical="center" wrapText="1"/>
    </xf>
    <xf numFmtId="168" fontId="33" fillId="26" borderId="85" xfId="49" applyNumberFormat="1" applyFont="1" applyFill="1" applyBorder="1" applyAlignment="1" applyProtection="1">
      <alignment horizontal="center" vertical="center" wrapText="1"/>
    </xf>
    <xf numFmtId="174" fontId="106" fillId="40" borderId="57" xfId="49" applyNumberFormat="1" applyFont="1" applyFill="1" applyBorder="1" applyAlignment="1" applyProtection="1">
      <alignment horizontal="center" wrapText="1"/>
    </xf>
    <xf numFmtId="170" fontId="33" fillId="40" borderId="51" xfId="49" applyNumberFormat="1" applyFont="1" applyFill="1" applyBorder="1" applyAlignment="1" applyProtection="1">
      <alignment horizontal="center" wrapText="1"/>
    </xf>
    <xf numFmtId="170" fontId="34" fillId="40" borderId="21" xfId="49" applyNumberFormat="1" applyFont="1" applyFill="1" applyBorder="1" applyAlignment="1" applyProtection="1">
      <alignment horizontal="center" wrapText="1"/>
    </xf>
    <xf numFmtId="170" fontId="33" fillId="40" borderId="22" xfId="49" applyNumberFormat="1" applyFont="1" applyFill="1" applyBorder="1" applyAlignment="1" applyProtection="1">
      <alignment horizontal="center"/>
    </xf>
    <xf numFmtId="170" fontId="34" fillId="40" borderId="28" xfId="49" applyNumberFormat="1" applyFont="1" applyFill="1" applyBorder="1" applyAlignment="1" applyProtection="1">
      <alignment horizontal="center" wrapText="1"/>
    </xf>
    <xf numFmtId="170" fontId="114" fillId="40" borderId="56" xfId="49" applyNumberFormat="1" applyFont="1" applyFill="1" applyBorder="1" applyAlignment="1" applyProtection="1">
      <alignment horizontal="center" wrapText="1"/>
    </xf>
    <xf numFmtId="168" fontId="123" fillId="29" borderId="3" xfId="49" applyNumberFormat="1" applyFont="1" applyFill="1" applyBorder="1" applyAlignment="1" applyProtection="1">
      <alignment horizontal="center" vertical="center" wrapText="1"/>
      <protection locked="0"/>
    </xf>
    <xf numFmtId="2" fontId="33" fillId="40" borderId="51" xfId="49" applyNumberFormat="1" applyFont="1" applyFill="1" applyBorder="1" applyAlignment="1" applyProtection="1">
      <alignment horizontal="center" vertical="center" wrapText="1"/>
    </xf>
    <xf numFmtId="170" fontId="34" fillId="40" borderId="39" xfId="49" applyNumberFormat="1" applyFont="1" applyFill="1" applyBorder="1" applyAlignment="1" applyProtection="1">
      <alignment horizontal="center" wrapText="1"/>
    </xf>
    <xf numFmtId="168" fontId="123" fillId="29" borderId="2" xfId="49" applyNumberFormat="1" applyFont="1" applyFill="1" applyBorder="1" applyAlignment="1" applyProtection="1">
      <alignment horizontal="center" vertical="center" wrapText="1"/>
      <protection locked="0"/>
    </xf>
    <xf numFmtId="3" fontId="34" fillId="32" borderId="5" xfId="49" applyNumberFormat="1" applyFont="1" applyFill="1" applyBorder="1" applyAlignment="1" applyProtection="1">
      <alignment horizontal="right"/>
      <protection locked="0"/>
    </xf>
    <xf numFmtId="3" fontId="34" fillId="32" borderId="17" xfId="49" applyNumberFormat="1" applyFont="1" applyFill="1" applyBorder="1" applyAlignment="1" applyProtection="1">
      <alignment horizontal="right"/>
      <protection locked="0"/>
    </xf>
    <xf numFmtId="3" fontId="34" fillId="32" borderId="21" xfId="49" applyNumberFormat="1" applyFont="1" applyFill="1" applyBorder="1" applyAlignment="1" applyProtection="1">
      <alignment horizontal="right"/>
      <protection locked="0"/>
    </xf>
    <xf numFmtId="168" fontId="123" fillId="29" borderId="1" xfId="49" applyNumberFormat="1" applyFont="1" applyFill="1" applyBorder="1" applyAlignment="1" applyProtection="1">
      <alignment horizontal="center" vertical="center" wrapText="1"/>
      <protection locked="0"/>
    </xf>
    <xf numFmtId="3" fontId="33" fillId="33" borderId="53" xfId="32" applyNumberFormat="1" applyFont="1" applyFill="1" applyBorder="1" applyAlignment="1">
      <alignment horizontal="center"/>
    </xf>
    <xf numFmtId="3" fontId="33" fillId="34" borderId="53" xfId="32" applyNumberFormat="1" applyFont="1" applyFill="1" applyBorder="1" applyAlignment="1">
      <alignment horizontal="center"/>
    </xf>
    <xf numFmtId="3" fontId="34" fillId="0" borderId="53" xfId="32" applyNumberFormat="1" applyFont="1" applyFill="1" applyBorder="1" applyAlignment="1">
      <alignment horizontal="center"/>
    </xf>
    <xf numFmtId="3" fontId="33" fillId="37" borderId="53" xfId="32" applyNumberFormat="1" applyFont="1" applyFill="1" applyBorder="1" applyAlignment="1">
      <alignment horizontal="center"/>
    </xf>
    <xf numFmtId="3" fontId="33" fillId="37" borderId="77" xfId="32" applyNumberFormat="1" applyFont="1" applyFill="1" applyBorder="1" applyAlignment="1">
      <alignment horizontal="center"/>
    </xf>
    <xf numFmtId="3" fontId="33" fillId="37" borderId="57" xfId="32" applyNumberFormat="1" applyFont="1" applyFill="1" applyBorder="1" applyAlignment="1">
      <alignment horizontal="center"/>
    </xf>
    <xf numFmtId="3" fontId="33" fillId="33" borderId="32" xfId="32" applyNumberFormat="1" applyFont="1" applyFill="1" applyBorder="1" applyAlignment="1">
      <alignment horizontal="center"/>
    </xf>
    <xf numFmtId="3" fontId="33" fillId="34" borderId="32" xfId="32" applyNumberFormat="1" applyFont="1" applyFill="1" applyBorder="1" applyAlignment="1">
      <alignment horizontal="center"/>
    </xf>
    <xf numFmtId="3" fontId="34" fillId="0" borderId="32" xfId="32" applyNumberFormat="1" applyFont="1" applyFill="1" applyBorder="1" applyAlignment="1">
      <alignment horizontal="center"/>
    </xf>
    <xf numFmtId="3" fontId="33" fillId="37" borderId="32" xfId="32" applyNumberFormat="1" applyFont="1" applyFill="1" applyBorder="1" applyAlignment="1">
      <alignment horizontal="center"/>
    </xf>
    <xf numFmtId="3" fontId="33" fillId="37" borderId="79" xfId="32" applyNumberFormat="1" applyFont="1" applyFill="1" applyBorder="1" applyAlignment="1">
      <alignment horizontal="center"/>
    </xf>
    <xf numFmtId="0" fontId="33" fillId="34" borderId="24" xfId="32" applyFont="1" applyFill="1" applyBorder="1" applyAlignment="1"/>
    <xf numFmtId="0" fontId="34" fillId="30" borderId="24" xfId="47" applyFont="1" applyFill="1" applyBorder="1" applyAlignment="1" applyProtection="1">
      <alignment horizontal="left" vertical="center" wrapText="1"/>
      <protection hidden="1"/>
    </xf>
    <xf numFmtId="0" fontId="34" fillId="21" borderId="24" xfId="47" applyFont="1" applyFill="1" applyBorder="1" applyAlignment="1" applyProtection="1">
      <alignment horizontal="left" vertical="center" wrapText="1"/>
      <protection hidden="1"/>
    </xf>
    <xf numFmtId="0" fontId="122" fillId="30" borderId="24" xfId="47" applyFont="1" applyFill="1" applyBorder="1" applyAlignment="1" applyProtection="1">
      <alignment horizontal="left" vertical="center" wrapText="1"/>
      <protection hidden="1"/>
    </xf>
    <xf numFmtId="0" fontId="34" fillId="29" borderId="24" xfId="47" applyFont="1" applyFill="1" applyBorder="1" applyAlignment="1" applyProtection="1">
      <alignment horizontal="left" vertical="center" wrapText="1"/>
      <protection hidden="1"/>
    </xf>
    <xf numFmtId="0" fontId="34" fillId="29" borderId="24" xfId="32" applyFont="1" applyFill="1" applyBorder="1"/>
    <xf numFmtId="0" fontId="33" fillId="34" borderId="24" xfId="47" applyFont="1" applyFill="1" applyBorder="1" applyAlignment="1" applyProtection="1">
      <alignment horizontal="left" vertical="center" wrapText="1"/>
      <protection hidden="1"/>
    </xf>
    <xf numFmtId="0" fontId="33" fillId="33" borderId="24" xfId="32" applyFont="1" applyFill="1" applyBorder="1"/>
    <xf numFmtId="0" fontId="33" fillId="34" borderId="24" xfId="47" applyFont="1" applyFill="1" applyBorder="1" applyAlignment="1" applyProtection="1">
      <alignment horizontal="left" vertical="top" wrapText="1"/>
      <protection hidden="1"/>
    </xf>
    <xf numFmtId="0" fontId="34" fillId="30" borderId="24" xfId="32" applyFont="1" applyFill="1" applyBorder="1"/>
    <xf numFmtId="0" fontId="33" fillId="37" borderId="24" xfId="47" applyFont="1" applyFill="1" applyBorder="1" applyAlignment="1" applyProtection="1">
      <alignment horizontal="left" vertical="center" wrapText="1"/>
      <protection hidden="1"/>
    </xf>
    <xf numFmtId="0" fontId="33" fillId="30" borderId="24" xfId="32" applyFont="1" applyFill="1" applyBorder="1"/>
    <xf numFmtId="0" fontId="33" fillId="30" borderId="24" xfId="47" applyFont="1" applyFill="1" applyBorder="1" applyAlignment="1" applyProtection="1">
      <alignment horizontal="left" vertical="center" wrapText="1"/>
      <protection hidden="1"/>
    </xf>
    <xf numFmtId="0" fontId="33" fillId="37" borderId="30" xfId="47" applyFont="1" applyFill="1" applyBorder="1" applyAlignment="1" applyProtection="1">
      <alignment horizontal="left" vertical="center" wrapText="1"/>
      <protection hidden="1"/>
    </xf>
    <xf numFmtId="3" fontId="33" fillId="33" borderId="15" xfId="32" applyNumberFormat="1" applyFont="1" applyFill="1" applyBorder="1" applyAlignment="1">
      <alignment horizontal="center"/>
    </xf>
    <xf numFmtId="3" fontId="33" fillId="34" borderId="15" xfId="32" applyNumberFormat="1" applyFont="1" applyFill="1" applyBorder="1" applyAlignment="1">
      <alignment horizontal="center"/>
    </xf>
    <xf numFmtId="3" fontId="34" fillId="30" borderId="15" xfId="32" applyNumberFormat="1" applyFont="1" applyFill="1" applyBorder="1" applyAlignment="1">
      <alignment horizontal="center"/>
    </xf>
    <xf numFmtId="3" fontId="34" fillId="0" borderId="15" xfId="32" applyNumberFormat="1" applyFont="1" applyFill="1" applyBorder="1" applyAlignment="1">
      <alignment horizontal="center"/>
    </xf>
    <xf numFmtId="3" fontId="33" fillId="37" borderId="15" xfId="32" applyNumberFormat="1" applyFont="1" applyFill="1" applyBorder="1" applyAlignment="1">
      <alignment horizontal="center"/>
    </xf>
    <xf numFmtId="3" fontId="33" fillId="37" borderId="19" xfId="32" applyNumberFormat="1" applyFont="1" applyFill="1" applyBorder="1" applyAlignment="1">
      <alignment horizontal="center"/>
    </xf>
    <xf numFmtId="3" fontId="33" fillId="33" borderId="17" xfId="32" applyNumberFormat="1" applyFont="1" applyFill="1" applyBorder="1" applyAlignment="1">
      <alignment horizontal="center"/>
    </xf>
    <xf numFmtId="3" fontId="33" fillId="34" borderId="17" xfId="32" applyNumberFormat="1" applyFont="1" applyFill="1" applyBorder="1" applyAlignment="1">
      <alignment horizontal="center"/>
    </xf>
    <xf numFmtId="3" fontId="34" fillId="30" borderId="17" xfId="32" applyNumberFormat="1" applyFont="1" applyFill="1" applyBorder="1" applyAlignment="1">
      <alignment horizontal="center"/>
    </xf>
    <xf numFmtId="3" fontId="34" fillId="0" borderId="17" xfId="32" applyNumberFormat="1" applyFont="1" applyFill="1" applyBorder="1" applyAlignment="1">
      <alignment horizontal="center"/>
    </xf>
    <xf numFmtId="3" fontId="33" fillId="37" borderId="17" xfId="32" applyNumberFormat="1" applyFont="1" applyFill="1" applyBorder="1" applyAlignment="1">
      <alignment horizontal="center"/>
    </xf>
    <xf numFmtId="3" fontId="33" fillId="37" borderId="21" xfId="32" applyNumberFormat="1" applyFont="1" applyFill="1" applyBorder="1" applyAlignment="1">
      <alignment horizontal="center"/>
    </xf>
    <xf numFmtId="0" fontId="33" fillId="33" borderId="25" xfId="32" applyFont="1" applyFill="1" applyBorder="1" applyAlignment="1"/>
    <xf numFmtId="3" fontId="33" fillId="33" borderId="5" xfId="32" applyNumberFormat="1" applyFont="1" applyFill="1" applyBorder="1" applyAlignment="1">
      <alignment horizontal="center"/>
    </xf>
    <xf numFmtId="3" fontId="33" fillId="33" borderId="6" xfId="32" applyNumberFormat="1" applyFont="1" applyFill="1" applyBorder="1" applyAlignment="1">
      <alignment horizontal="center"/>
    </xf>
    <xf numFmtId="3" fontId="33" fillId="33" borderId="44" xfId="32" applyNumberFormat="1" applyFont="1" applyFill="1" applyBorder="1" applyAlignment="1">
      <alignment horizontal="center"/>
    </xf>
    <xf numFmtId="3" fontId="33" fillId="33" borderId="31" xfId="32" applyNumberFormat="1" applyFont="1" applyFill="1" applyBorder="1" applyAlignment="1">
      <alignment horizontal="center"/>
    </xf>
    <xf numFmtId="3" fontId="33" fillId="33" borderId="50" xfId="32" applyNumberFormat="1" applyFont="1" applyFill="1" applyBorder="1" applyAlignment="1">
      <alignment horizontal="center"/>
    </xf>
    <xf numFmtId="0" fontId="33" fillId="40" borderId="1" xfId="32" applyFont="1" applyFill="1" applyBorder="1" applyAlignment="1">
      <alignment vertical="center" wrapText="1"/>
    </xf>
    <xf numFmtId="170" fontId="33" fillId="40" borderId="2" xfId="32" applyNumberFormat="1" applyFont="1" applyFill="1" applyBorder="1" applyAlignment="1" applyProtection="1">
      <alignment horizontal="center" wrapText="1"/>
    </xf>
    <xf numFmtId="170" fontId="33" fillId="40" borderId="3" xfId="32" applyNumberFormat="1" applyFont="1" applyFill="1" applyBorder="1" applyAlignment="1" applyProtection="1">
      <alignment horizontal="center" wrapText="1"/>
    </xf>
    <xf numFmtId="170" fontId="33" fillId="40" borderId="65" xfId="32" applyNumberFormat="1" applyFont="1" applyFill="1" applyBorder="1" applyAlignment="1" applyProtection="1">
      <alignment horizontal="center" wrapText="1"/>
    </xf>
    <xf numFmtId="170" fontId="33" fillId="40" borderId="9" xfId="32" applyNumberFormat="1" applyFont="1" applyFill="1" applyBorder="1" applyAlignment="1" applyProtection="1">
      <alignment horizontal="center" wrapText="1"/>
    </xf>
    <xf numFmtId="170" fontId="33" fillId="40" borderId="10" xfId="32" applyNumberFormat="1" applyFont="1" applyFill="1" applyBorder="1" applyAlignment="1" applyProtection="1">
      <alignment horizontal="center" wrapText="1"/>
    </xf>
    <xf numFmtId="3" fontId="33" fillId="38" borderId="53" xfId="32" applyNumberFormat="1" applyFont="1" applyFill="1" applyBorder="1" applyAlignment="1">
      <alignment horizontal="center"/>
    </xf>
    <xf numFmtId="3" fontId="33" fillId="38" borderId="77" xfId="32" applyNumberFormat="1" applyFont="1" applyFill="1" applyBorder="1" applyAlignment="1">
      <alignment horizontal="center"/>
    </xf>
    <xf numFmtId="3" fontId="33" fillId="38" borderId="57" xfId="32" applyNumberFormat="1" applyFont="1" applyFill="1" applyBorder="1" applyAlignment="1">
      <alignment horizontal="center"/>
    </xf>
    <xf numFmtId="3" fontId="33" fillId="38" borderId="32" xfId="32" applyNumberFormat="1" applyFont="1" applyFill="1" applyBorder="1" applyAlignment="1">
      <alignment horizontal="center"/>
    </xf>
    <xf numFmtId="3" fontId="33" fillId="38" borderId="79" xfId="32" applyNumberFormat="1" applyFont="1" applyFill="1" applyBorder="1" applyAlignment="1">
      <alignment horizontal="center"/>
    </xf>
    <xf numFmtId="0" fontId="33" fillId="33" borderId="24" xfId="47" applyFont="1" applyFill="1" applyBorder="1" applyAlignment="1" applyProtection="1">
      <alignment horizontal="left" vertical="center" wrapText="1"/>
      <protection hidden="1"/>
    </xf>
    <xf numFmtId="0" fontId="33" fillId="38" borderId="24" xfId="47" applyFont="1" applyFill="1" applyBorder="1" applyAlignment="1" applyProtection="1">
      <alignment horizontal="left" vertical="center" wrapText="1"/>
      <protection hidden="1"/>
    </xf>
    <xf numFmtId="0" fontId="33" fillId="38" borderId="30" xfId="47" applyFont="1" applyFill="1" applyBorder="1" applyAlignment="1" applyProtection="1">
      <alignment horizontal="left" vertical="center" wrapText="1"/>
      <protection hidden="1"/>
    </xf>
    <xf numFmtId="3" fontId="33" fillId="38" borderId="15" xfId="32" applyNumberFormat="1" applyFont="1" applyFill="1" applyBorder="1" applyAlignment="1">
      <alignment horizontal="center"/>
    </xf>
    <xf numFmtId="3" fontId="33" fillId="38" borderId="19" xfId="32" applyNumberFormat="1" applyFont="1" applyFill="1" applyBorder="1" applyAlignment="1">
      <alignment horizontal="center"/>
    </xf>
    <xf numFmtId="3" fontId="33" fillId="38" borderId="21" xfId="32" applyNumberFormat="1" applyFont="1" applyFill="1" applyBorder="1" applyAlignment="1">
      <alignment horizontal="center"/>
    </xf>
    <xf numFmtId="1" fontId="13" fillId="27" borderId="2" xfId="21" applyFont="1" applyFill="1" applyBorder="1" applyAlignment="1">
      <alignment horizontal="center" vertical="center" wrapText="1"/>
    </xf>
    <xf numFmtId="3" fontId="38" fillId="0" borderId="31" xfId="0" applyNumberFormat="1" applyFont="1" applyBorder="1" applyAlignment="1">
      <alignment horizontal="center" vertical="center"/>
    </xf>
    <xf numFmtId="3" fontId="38" fillId="0" borderId="50" xfId="0" applyNumberFormat="1" applyFont="1" applyBorder="1" applyAlignment="1">
      <alignment horizontal="center" vertical="center"/>
    </xf>
    <xf numFmtId="170" fontId="40" fillId="40" borderId="77" xfId="0" applyNumberFormat="1" applyFont="1" applyFill="1" applyBorder="1" applyAlignment="1" applyProtection="1">
      <alignment horizontal="center" wrapText="1"/>
    </xf>
    <xf numFmtId="170" fontId="40" fillId="40" borderId="57" xfId="0" applyNumberFormat="1" applyFont="1" applyFill="1" applyBorder="1" applyAlignment="1" applyProtection="1">
      <alignment horizontal="center" wrapText="1"/>
    </xf>
    <xf numFmtId="170" fontId="40" fillId="40" borderId="56" xfId="0" applyNumberFormat="1" applyFont="1" applyFill="1" applyBorder="1" applyAlignment="1" applyProtection="1">
      <alignment horizontal="center" wrapText="1"/>
    </xf>
    <xf numFmtId="0" fontId="34" fillId="0" borderId="29" xfId="0" applyFont="1" applyBorder="1" applyAlignment="1">
      <alignment horizontal="center"/>
    </xf>
    <xf numFmtId="0" fontId="34" fillId="0" borderId="24" xfId="0" applyFont="1" applyBorder="1" applyAlignment="1">
      <alignment horizontal="center"/>
    </xf>
    <xf numFmtId="0" fontId="34" fillId="0" borderId="30" xfId="0" applyFont="1" applyBorder="1" applyAlignment="1">
      <alignment horizontal="center"/>
    </xf>
    <xf numFmtId="3" fontId="38" fillId="32" borderId="75" xfId="49" applyNumberFormat="1" applyFont="1" applyFill="1" applyBorder="1" applyAlignment="1" applyProtection="1">
      <alignment horizontal="center"/>
      <protection locked="0"/>
    </xf>
    <xf numFmtId="3" fontId="38" fillId="32" borderId="73" xfId="49" applyNumberFormat="1" applyFont="1" applyFill="1" applyBorder="1" applyAlignment="1" applyProtection="1">
      <alignment horizontal="center"/>
      <protection locked="0"/>
    </xf>
    <xf numFmtId="0" fontId="38" fillId="0" borderId="53" xfId="0" applyFont="1" applyBorder="1" applyAlignment="1">
      <alignment horizontal="left" vertical="center" wrapText="1"/>
    </xf>
    <xf numFmtId="3" fontId="38" fillId="32" borderId="52" xfId="49" applyNumberFormat="1" applyFont="1" applyFill="1" applyBorder="1" applyAlignment="1" applyProtection="1">
      <alignment horizontal="center" vertical="center"/>
      <protection locked="0"/>
    </xf>
    <xf numFmtId="3" fontId="38" fillId="32" borderId="7" xfId="49" applyNumberFormat="1" applyFont="1" applyFill="1" applyBorder="1" applyAlignment="1" applyProtection="1">
      <alignment horizontal="center" vertical="center"/>
      <protection locked="0"/>
    </xf>
    <xf numFmtId="3" fontId="38"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3" fillId="40" borderId="77" xfId="0" applyNumberFormat="1" applyFont="1" applyFill="1" applyBorder="1" applyAlignment="1" applyProtection="1">
      <alignment horizontal="center" wrapText="1"/>
    </xf>
    <xf numFmtId="170" fontId="33" fillId="40" borderId="57" xfId="0" applyNumberFormat="1" applyFont="1" applyFill="1" applyBorder="1" applyAlignment="1" applyProtection="1">
      <alignment horizontal="center" wrapText="1"/>
    </xf>
    <xf numFmtId="0" fontId="40" fillId="0" borderId="49" xfId="0" applyFont="1" applyFill="1" applyBorder="1" applyAlignment="1" applyProtection="1">
      <alignment horizontal="center" vertical="center" wrapText="1"/>
    </xf>
    <xf numFmtId="0" fontId="40" fillId="0" borderId="31" xfId="0" applyFont="1" applyFill="1" applyBorder="1" applyAlignment="1" applyProtection="1">
      <alignment horizontal="left" vertical="center" wrapText="1"/>
    </xf>
    <xf numFmtId="0" fontId="40" fillId="0" borderId="31" xfId="0" applyFont="1" applyFill="1" applyBorder="1" applyAlignment="1" applyProtection="1">
      <alignment horizontal="center" vertical="center" wrapText="1"/>
    </xf>
    <xf numFmtId="0" fontId="40" fillId="40" borderId="38" xfId="0" applyFont="1" applyFill="1" applyBorder="1" applyAlignment="1" applyProtection="1">
      <alignment horizontal="center" vertical="center" wrapText="1"/>
    </xf>
    <xf numFmtId="0" fontId="40" fillId="40" borderId="9" xfId="0" applyFont="1" applyFill="1" applyBorder="1" applyAlignment="1" applyProtection="1">
      <alignment horizontal="center" vertical="center" wrapText="1"/>
    </xf>
    <xf numFmtId="0" fontId="40" fillId="40" borderId="9" xfId="40" applyFont="1" applyFill="1" applyBorder="1" applyAlignment="1" applyProtection="1">
      <alignment horizontal="center" vertical="center"/>
    </xf>
    <xf numFmtId="170" fontId="40" fillId="40" borderId="9" xfId="0" applyNumberFormat="1" applyFont="1" applyFill="1" applyBorder="1" applyAlignment="1" applyProtection="1">
      <alignment horizontal="center" wrapText="1"/>
    </xf>
    <xf numFmtId="170" fontId="40" fillId="40" borderId="10" xfId="0" applyNumberFormat="1" applyFont="1" applyFill="1" applyBorder="1" applyAlignment="1" applyProtection="1">
      <alignment horizontal="center" wrapText="1"/>
    </xf>
    <xf numFmtId="0" fontId="38" fillId="0" borderId="62" xfId="0" applyFont="1" applyBorder="1" applyAlignment="1" applyProtection="1">
      <alignment horizontal="center" vertical="center" wrapText="1"/>
    </xf>
    <xf numFmtId="170" fontId="33" fillId="40" borderId="56" xfId="0" applyNumberFormat="1" applyFont="1" applyFill="1" applyBorder="1" applyAlignment="1" applyProtection="1">
      <alignment horizontal="center" wrapText="1"/>
    </xf>
    <xf numFmtId="171" fontId="33" fillId="28" borderId="71" xfId="0" applyNumberFormat="1" applyFont="1" applyFill="1" applyBorder="1" applyAlignment="1">
      <alignment vertical="center"/>
    </xf>
    <xf numFmtId="171" fontId="33" fillId="28" borderId="48" xfId="0" applyNumberFormat="1" applyFont="1" applyFill="1" applyBorder="1" applyAlignment="1">
      <alignment vertical="center"/>
    </xf>
    <xf numFmtId="2" fontId="34" fillId="2" borderId="1" xfId="0" applyNumberFormat="1" applyFont="1" applyFill="1" applyBorder="1"/>
    <xf numFmtId="2" fontId="34" fillId="2" borderId="8" xfId="0" applyNumberFormat="1" applyFont="1" applyFill="1" applyBorder="1"/>
    <xf numFmtId="2" fontId="34" fillId="2" borderId="3" xfId="0" applyNumberFormat="1" applyFont="1" applyFill="1" applyBorder="1"/>
    <xf numFmtId="0" fontId="34" fillId="2" borderId="75" xfId="0" applyFont="1" applyFill="1" applyBorder="1"/>
    <xf numFmtId="0" fontId="34" fillId="2" borderId="73" xfId="0" applyFont="1" applyFill="1" applyBorder="1"/>
    <xf numFmtId="0" fontId="34" fillId="2" borderId="76" xfId="0" applyFont="1" applyFill="1" applyBorder="1"/>
    <xf numFmtId="0" fontId="34" fillId="2" borderId="52" xfId="0" applyFont="1" applyFill="1" applyBorder="1"/>
    <xf numFmtId="0" fontId="34" fillId="2" borderId="7" xfId="0" applyFont="1" applyFill="1" applyBorder="1"/>
    <xf numFmtId="0" fontId="34" fillId="2" borderId="53" xfId="0" applyFont="1" applyFill="1" applyBorder="1"/>
    <xf numFmtId="0" fontId="34" fillId="2" borderId="56" xfId="0" applyFont="1" applyFill="1" applyBorder="1"/>
    <xf numFmtId="0" fontId="34" fillId="2" borderId="77" xfId="0" applyFont="1" applyFill="1" applyBorder="1"/>
    <xf numFmtId="0" fontId="34" fillId="2" borderId="57" xfId="0" applyFont="1" applyFill="1" applyBorder="1"/>
    <xf numFmtId="0" fontId="13" fillId="35" borderId="2" xfId="49" applyFont="1" applyFill="1" applyBorder="1" applyAlignment="1">
      <alignment vertical="center" wrapText="1"/>
    </xf>
    <xf numFmtId="3" fontId="33" fillId="40" borderId="65" xfId="32" applyNumberFormat="1" applyFont="1" applyFill="1" applyBorder="1" applyAlignment="1">
      <alignment horizontal="center" vertical="center"/>
    </xf>
    <xf numFmtId="3" fontId="39" fillId="40" borderId="10" xfId="32" applyNumberFormat="1" applyFont="1" applyFill="1" applyBorder="1" applyAlignment="1">
      <alignment horizontal="center" vertical="center"/>
    </xf>
    <xf numFmtId="1" fontId="39" fillId="40" borderId="65" xfId="32" applyNumberFormat="1" applyFont="1" applyFill="1" applyBorder="1" applyAlignment="1">
      <alignment horizontal="center" vertical="center" wrapText="1"/>
    </xf>
    <xf numFmtId="1" fontId="33" fillId="40" borderId="47" xfId="32" applyNumberFormat="1" applyFont="1" applyFill="1" applyBorder="1" applyAlignment="1">
      <alignment horizontal="center" vertical="center"/>
    </xf>
    <xf numFmtId="1" fontId="33" fillId="40" borderId="71" xfId="32" applyNumberFormat="1" applyFont="1" applyFill="1" applyBorder="1" applyAlignment="1">
      <alignment horizontal="center" vertical="center"/>
    </xf>
    <xf numFmtId="1" fontId="33" fillId="40" borderId="48" xfId="32" applyNumberFormat="1" applyFont="1" applyFill="1" applyBorder="1" applyAlignment="1">
      <alignment vertical="center"/>
    </xf>
    <xf numFmtId="3" fontId="34" fillId="32" borderId="73" xfId="49" applyNumberFormat="1" applyFont="1" applyFill="1" applyBorder="1" applyAlignment="1" applyProtection="1">
      <alignment horizontal="center"/>
      <protection locked="0"/>
    </xf>
    <xf numFmtId="0" fontId="7" fillId="30" borderId="0" xfId="32" applyFont="1" applyFill="1" applyAlignment="1">
      <alignment wrapText="1"/>
    </xf>
    <xf numFmtId="0" fontId="12" fillId="30" borderId="0" xfId="32" applyFont="1" applyFill="1" applyBorder="1" applyAlignment="1">
      <alignment vertical="center"/>
    </xf>
    <xf numFmtId="3" fontId="34" fillId="44" borderId="40" xfId="49" applyNumberFormat="1" applyFont="1" applyFill="1" applyBorder="1" applyAlignment="1" applyProtection="1">
      <alignment horizontal="right"/>
      <protection locked="0"/>
    </xf>
    <xf numFmtId="3" fontId="34" fillId="44" borderId="11" xfId="49" applyNumberFormat="1" applyFont="1" applyFill="1" applyBorder="1" applyAlignment="1" applyProtection="1">
      <alignment horizontal="right"/>
      <protection locked="0"/>
    </xf>
    <xf numFmtId="3" fontId="34" fillId="44" borderId="41" xfId="49" applyNumberFormat="1" applyFont="1" applyFill="1" applyBorder="1" applyAlignment="1" applyProtection="1">
      <alignment horizontal="right"/>
      <protection locked="0"/>
    </xf>
    <xf numFmtId="3" fontId="34" fillId="44" borderId="27" xfId="49" applyNumberFormat="1" applyFont="1" applyFill="1" applyBorder="1" applyAlignment="1" applyProtection="1">
      <alignment horizontal="right"/>
      <protection locked="0"/>
    </xf>
    <xf numFmtId="3" fontId="34" fillId="44" borderId="0" xfId="49" applyNumberFormat="1" applyFont="1" applyFill="1" applyBorder="1" applyAlignment="1" applyProtection="1">
      <alignment horizontal="right"/>
      <protection locked="0"/>
    </xf>
    <xf numFmtId="3" fontId="34" fillId="44" borderId="16" xfId="49" applyNumberFormat="1" applyFont="1" applyFill="1" applyBorder="1" applyAlignment="1" applyProtection="1">
      <alignment horizontal="right"/>
      <protection locked="0"/>
    </xf>
    <xf numFmtId="3" fontId="34" fillId="44" borderId="42" xfId="49" applyNumberFormat="1" applyFont="1" applyFill="1" applyBorder="1" applyAlignment="1" applyProtection="1">
      <alignment horizontal="right"/>
      <protection locked="0"/>
    </xf>
    <xf numFmtId="3" fontId="34" fillId="44" borderId="20" xfId="49" applyNumberFormat="1" applyFont="1" applyFill="1" applyBorder="1" applyAlignment="1" applyProtection="1">
      <alignment horizontal="right"/>
      <protection locked="0"/>
    </xf>
    <xf numFmtId="3" fontId="34" fillId="44" borderId="43" xfId="49" applyNumberFormat="1" applyFont="1" applyFill="1" applyBorder="1" applyAlignment="1" applyProtection="1">
      <alignment horizontal="right"/>
      <protection locked="0"/>
    </xf>
    <xf numFmtId="0" fontId="13" fillId="30" borderId="0" xfId="0" applyFont="1" applyFill="1" applyAlignment="1">
      <alignment horizontal="left" indent="1"/>
    </xf>
    <xf numFmtId="0" fontId="36" fillId="30" borderId="0" xfId="0" applyFont="1" applyFill="1" applyAlignment="1">
      <alignment horizontal="left" indent="1"/>
    </xf>
    <xf numFmtId="0" fontId="106" fillId="29" borderId="60" xfId="31" applyFont="1" applyFill="1" applyBorder="1" applyAlignment="1">
      <alignment wrapText="1"/>
    </xf>
    <xf numFmtId="173" fontId="106" fillId="29" borderId="45" xfId="37" applyNumberFormat="1" applyFont="1" applyFill="1" applyBorder="1" applyAlignment="1" applyProtection="1">
      <alignment horizontal="right" vertical="center" wrapText="1"/>
    </xf>
    <xf numFmtId="173" fontId="106" fillId="29" borderId="58" xfId="37" applyNumberFormat="1" applyFont="1" applyFill="1" applyBorder="1" applyAlignment="1" applyProtection="1">
      <alignment horizontal="right" vertical="center" wrapText="1"/>
    </xf>
    <xf numFmtId="173" fontId="106" fillId="29" borderId="46" xfId="37" applyNumberFormat="1" applyFont="1" applyFill="1" applyBorder="1" applyAlignment="1" applyProtection="1">
      <alignment horizontal="right" vertical="center" wrapText="1"/>
    </xf>
    <xf numFmtId="173" fontId="106" fillId="29" borderId="80" xfId="37" applyNumberFormat="1" applyFont="1" applyFill="1" applyBorder="1" applyAlignment="1" applyProtection="1">
      <alignment horizontal="right" vertical="center" wrapText="1"/>
    </xf>
    <xf numFmtId="173" fontId="106" fillId="29" borderId="59" xfId="37" applyNumberFormat="1" applyFont="1" applyFill="1" applyBorder="1" applyAlignment="1" applyProtection="1">
      <alignment horizontal="right" vertical="center" wrapText="1"/>
    </xf>
    <xf numFmtId="0" fontId="106" fillId="29" borderId="110" xfId="31" applyFont="1" applyFill="1" applyBorder="1" applyAlignment="1">
      <alignment wrapText="1"/>
    </xf>
    <xf numFmtId="173" fontId="106" fillId="29" borderId="38" xfId="37" applyNumberFormat="1" applyFont="1" applyFill="1" applyBorder="1" applyAlignment="1" applyProtection="1">
      <alignment horizontal="right" vertical="center" wrapText="1"/>
    </xf>
    <xf numFmtId="173" fontId="106" fillId="29" borderId="9" xfId="37" applyNumberFormat="1" applyFont="1" applyFill="1" applyBorder="1" applyAlignment="1" applyProtection="1">
      <alignment horizontal="right" vertical="center" wrapText="1"/>
    </xf>
    <xf numFmtId="173" fontId="106" fillId="29" borderId="60" xfId="37" applyNumberFormat="1" applyFont="1" applyFill="1" applyBorder="1" applyAlignment="1" applyProtection="1">
      <alignment horizontal="right" vertical="center" wrapText="1"/>
    </xf>
    <xf numFmtId="173" fontId="106" fillId="29" borderId="10" xfId="37" applyNumberFormat="1" applyFont="1" applyFill="1" applyBorder="1" applyAlignment="1" applyProtection="1">
      <alignment horizontal="right" vertical="center" wrapText="1"/>
    </xf>
    <xf numFmtId="173" fontId="106" fillId="29" borderId="65" xfId="37" applyNumberFormat="1" applyFont="1" applyFill="1" applyBorder="1" applyAlignment="1" applyProtection="1">
      <alignment horizontal="right" vertical="center" wrapText="1"/>
    </xf>
    <xf numFmtId="173" fontId="107" fillId="29" borderId="9" xfId="37" applyNumberFormat="1" applyFont="1" applyFill="1" applyBorder="1" applyAlignment="1" applyProtection="1">
      <alignment horizontal="left" vertical="center" wrapText="1"/>
    </xf>
    <xf numFmtId="173" fontId="106" fillId="29" borderId="9" xfId="37" applyNumberFormat="1" applyFont="1" applyFill="1" applyBorder="1" applyAlignment="1" applyProtection="1">
      <alignment horizontal="center" vertical="center" wrapText="1"/>
    </xf>
    <xf numFmtId="10" fontId="34" fillId="29" borderId="24" xfId="1" applyNumberFormat="1" applyFont="1" applyFill="1" applyBorder="1" applyAlignment="1">
      <alignment horizontal="right" vertical="center" wrapText="1"/>
    </xf>
    <xf numFmtId="10" fontId="34" fillId="29" borderId="7" xfId="1" applyNumberFormat="1" applyFont="1" applyFill="1" applyBorder="1" applyAlignment="1">
      <alignment horizontal="right" vertical="center" wrapText="1"/>
    </xf>
    <xf numFmtId="3" fontId="34" fillId="30" borderId="24" xfId="32" applyNumberFormat="1" applyFont="1" applyFill="1" applyBorder="1" applyAlignment="1">
      <alignment horizontal="left" vertical="center" wrapText="1"/>
    </xf>
    <xf numFmtId="3" fontId="34" fillId="0" borderId="24" xfId="32" applyNumberFormat="1" applyFont="1" applyFill="1" applyBorder="1" applyAlignment="1">
      <alignment horizontal="left" vertical="center" wrapText="1"/>
    </xf>
    <xf numFmtId="3" fontId="33" fillId="30" borderId="23" xfId="32" applyNumberFormat="1" applyFont="1" applyFill="1" applyBorder="1" applyAlignment="1">
      <alignment horizontal="center" vertical="center"/>
    </xf>
    <xf numFmtId="3" fontId="80" fillId="29" borderId="53" xfId="32" applyNumberFormat="1" applyFont="1" applyFill="1" applyBorder="1" applyAlignment="1">
      <alignment horizontal="center" vertical="center"/>
    </xf>
    <xf numFmtId="3" fontId="35" fillId="29" borderId="52" xfId="32" applyNumberFormat="1" applyFont="1" applyFill="1" applyBorder="1" applyAlignment="1">
      <alignment horizontal="center" vertical="center"/>
    </xf>
    <xf numFmtId="3" fontId="35" fillId="29" borderId="62" xfId="32" applyNumberFormat="1" applyFont="1" applyFill="1" applyBorder="1" applyAlignment="1">
      <alignment horizontal="center" vertical="center"/>
    </xf>
    <xf numFmtId="3" fontId="35" fillId="29" borderId="7" xfId="32" applyNumberFormat="1" applyFont="1" applyFill="1" applyBorder="1" applyAlignment="1">
      <alignment horizontal="center" vertical="center"/>
    </xf>
    <xf numFmtId="3" fontId="35" fillId="29" borderId="53" xfId="32" applyNumberFormat="1" applyFont="1" applyFill="1" applyBorder="1" applyAlignment="1">
      <alignment horizontal="center" vertical="center"/>
    </xf>
    <xf numFmtId="3" fontId="4" fillId="3" borderId="56" xfId="32" applyNumberFormat="1" applyFont="1" applyFill="1" applyBorder="1" applyAlignment="1" applyProtection="1">
      <alignment horizontal="center" vertical="center"/>
      <protection locked="0"/>
    </xf>
    <xf numFmtId="3" fontId="4" fillId="3" borderId="57" xfId="32" applyNumberFormat="1" applyFont="1" applyFill="1" applyBorder="1" applyAlignment="1" applyProtection="1">
      <alignment horizontal="center" vertical="center"/>
      <protection locked="0"/>
    </xf>
    <xf numFmtId="3" fontId="4" fillId="3" borderId="24" xfId="32" applyNumberFormat="1" applyFont="1" applyFill="1" applyBorder="1" applyAlignment="1" applyProtection="1">
      <alignment horizontal="center" vertical="center"/>
      <protection locked="0"/>
    </xf>
    <xf numFmtId="3" fontId="4" fillId="3" borderId="30" xfId="32" applyNumberFormat="1" applyFont="1" applyFill="1" applyBorder="1" applyAlignment="1" applyProtection="1">
      <alignment horizontal="center" vertical="center"/>
      <protection locked="0"/>
    </xf>
    <xf numFmtId="3" fontId="4" fillId="3" borderId="51" xfId="32" applyNumberFormat="1" applyFont="1" applyFill="1" applyBorder="1" applyAlignment="1" applyProtection="1">
      <alignment horizontal="center" vertical="center"/>
      <protection locked="0"/>
    </xf>
    <xf numFmtId="3" fontId="4" fillId="3" borderId="17" xfId="32" applyNumberFormat="1" applyFont="1" applyFill="1" applyBorder="1" applyAlignment="1" applyProtection="1">
      <alignment horizontal="center" vertical="center"/>
      <protection locked="0"/>
    </xf>
    <xf numFmtId="3" fontId="4" fillId="3" borderId="21" xfId="32" applyNumberFormat="1" applyFont="1" applyFill="1" applyBorder="1" applyAlignment="1" applyProtection="1">
      <alignment horizontal="center" vertical="center"/>
      <protection locked="0"/>
    </xf>
    <xf numFmtId="3" fontId="4" fillId="3" borderId="79" xfId="32" applyNumberFormat="1" applyFont="1" applyFill="1" applyBorder="1" applyAlignment="1" applyProtection="1">
      <alignment horizontal="center" vertical="center"/>
      <protection locked="0"/>
    </xf>
    <xf numFmtId="3" fontId="4" fillId="3" borderId="77" xfId="32" applyNumberFormat="1" applyFont="1" applyFill="1" applyBorder="1" applyAlignment="1" applyProtection="1">
      <alignment horizontal="center" vertical="center"/>
      <protection locked="0"/>
    </xf>
    <xf numFmtId="3" fontId="39" fillId="29" borderId="52" xfId="32" applyNumberFormat="1" applyFont="1" applyFill="1" applyBorder="1" applyAlignment="1">
      <alignment horizontal="center" vertical="center"/>
    </xf>
    <xf numFmtId="3" fontId="39" fillId="29" borderId="53" xfId="32" applyNumberFormat="1" applyFont="1" applyFill="1" applyBorder="1" applyAlignment="1">
      <alignment horizontal="center" vertical="center"/>
    </xf>
    <xf numFmtId="3" fontId="33" fillId="29" borderId="32" xfId="32" applyNumberFormat="1" applyFont="1" applyFill="1" applyBorder="1" applyAlignment="1">
      <alignment horizontal="center" vertical="center"/>
    </xf>
    <xf numFmtId="3" fontId="33" fillId="29" borderId="7" xfId="32" applyNumberFormat="1" applyFont="1" applyFill="1" applyBorder="1" applyAlignment="1">
      <alignment horizontal="center" vertical="center"/>
    </xf>
    <xf numFmtId="3" fontId="33" fillId="29" borderId="53" xfId="32" applyNumberFormat="1" applyFont="1" applyFill="1" applyBorder="1" applyAlignment="1">
      <alignment horizontal="center" vertical="center"/>
    </xf>
    <xf numFmtId="3" fontId="33" fillId="29" borderId="62" xfId="32" applyNumberFormat="1" applyFont="1" applyFill="1" applyBorder="1" applyAlignment="1">
      <alignment horizontal="center" vertical="center"/>
    </xf>
    <xf numFmtId="0" fontId="34" fillId="24" borderId="39" xfId="32" applyFont="1" applyFill="1" applyBorder="1" applyAlignment="1">
      <alignment horizontal="center" vertical="center"/>
    </xf>
    <xf numFmtId="0" fontId="34" fillId="30" borderId="39" xfId="32" applyFont="1" applyFill="1" applyBorder="1" applyAlignment="1">
      <alignment horizontal="center" vertical="center"/>
    </xf>
    <xf numFmtId="9" fontId="34" fillId="30" borderId="39" xfId="1" applyFont="1" applyFill="1" applyBorder="1" applyAlignment="1">
      <alignment horizontal="center" vertical="center"/>
    </xf>
    <xf numFmtId="3" fontId="34" fillId="30" borderId="39" xfId="32" applyNumberFormat="1" applyFont="1" applyFill="1" applyBorder="1" applyAlignment="1">
      <alignment horizontal="left" vertical="center" wrapText="1"/>
    </xf>
    <xf numFmtId="3" fontId="35" fillId="0" borderId="54" xfId="32" applyNumberFormat="1" applyFont="1" applyFill="1" applyBorder="1" applyAlignment="1">
      <alignment horizontal="center" vertical="center"/>
    </xf>
    <xf numFmtId="3" fontId="35" fillId="0" borderId="55" xfId="32" applyNumberFormat="1" applyFont="1" applyFill="1" applyBorder="1" applyAlignment="1">
      <alignment horizontal="center" vertical="center"/>
    </xf>
    <xf numFmtId="3" fontId="34" fillId="0" borderId="69" xfId="32" applyNumberFormat="1" applyFont="1" applyFill="1" applyBorder="1" applyAlignment="1">
      <alignment horizontal="center" vertical="center"/>
    </xf>
    <xf numFmtId="3" fontId="34" fillId="0" borderId="63" xfId="32" applyNumberFormat="1" applyFont="1" applyFill="1" applyBorder="1" applyAlignment="1">
      <alignment horizontal="center" vertical="center"/>
    </xf>
    <xf numFmtId="3" fontId="34" fillId="0" borderId="64" xfId="32" applyNumberFormat="1" applyFont="1" applyFill="1" applyBorder="1" applyAlignment="1">
      <alignment horizontal="center" vertical="center"/>
    </xf>
    <xf numFmtId="3" fontId="80" fillId="3" borderId="55" xfId="32" applyNumberFormat="1" applyFont="1" applyFill="1" applyBorder="1" applyAlignment="1">
      <alignment horizontal="center" vertical="center"/>
    </xf>
    <xf numFmtId="0" fontId="33" fillId="34" borderId="51" xfId="32" applyFont="1" applyFill="1" applyBorder="1" applyAlignment="1">
      <alignment horizontal="center" vertical="center"/>
    </xf>
    <xf numFmtId="0" fontId="33" fillId="34" borderId="51" xfId="32" applyFont="1" applyFill="1" applyBorder="1" applyAlignment="1">
      <alignment horizontal="left" vertical="center"/>
    </xf>
    <xf numFmtId="0" fontId="33" fillId="34" borderId="51" xfId="32" applyFont="1" applyFill="1" applyBorder="1" applyAlignment="1">
      <alignment vertical="center" wrapText="1"/>
    </xf>
    <xf numFmtId="3" fontId="75" fillId="34" borderId="14" xfId="32" applyNumberFormat="1" applyFont="1" applyFill="1" applyBorder="1" applyAlignment="1">
      <alignment horizontal="center" vertical="center"/>
    </xf>
    <xf numFmtId="0" fontId="33" fillId="29" borderId="34" xfId="32" applyFont="1" applyFill="1" applyBorder="1" applyAlignment="1">
      <alignment horizontal="center" vertical="center"/>
    </xf>
    <xf numFmtId="0" fontId="33" fillId="29" borderId="34" xfId="32" applyFont="1" applyFill="1" applyBorder="1" applyAlignment="1">
      <alignment horizontal="left" vertical="center"/>
    </xf>
    <xf numFmtId="0" fontId="33" fillId="29" borderId="34" xfId="32" applyFont="1" applyFill="1" applyBorder="1" applyAlignment="1">
      <alignment vertical="center" wrapText="1"/>
    </xf>
    <xf numFmtId="3" fontId="39" fillId="29" borderId="56" xfId="32" applyNumberFormat="1" applyFont="1" applyFill="1" applyBorder="1" applyAlignment="1">
      <alignment horizontal="center" vertical="center"/>
    </xf>
    <xf numFmtId="3" fontId="39" fillId="29" borderId="57" xfId="32" applyNumberFormat="1" applyFont="1" applyFill="1" applyBorder="1" applyAlignment="1">
      <alignment horizontal="center" vertical="center"/>
    </xf>
    <xf numFmtId="3" fontId="33" fillId="29" borderId="70" xfId="32" applyNumberFormat="1" applyFont="1" applyFill="1" applyBorder="1" applyAlignment="1">
      <alignment horizontal="center" vertical="center"/>
    </xf>
    <xf numFmtId="3" fontId="33" fillId="29" borderId="71" xfId="32" applyNumberFormat="1" applyFont="1" applyFill="1" applyBorder="1" applyAlignment="1">
      <alignment horizontal="center" vertical="center"/>
    </xf>
    <xf numFmtId="3" fontId="33" fillId="29" borderId="48" xfId="32" applyNumberFormat="1" applyFont="1" applyFill="1" applyBorder="1" applyAlignment="1">
      <alignment horizontal="center" vertical="center"/>
    </xf>
    <xf numFmtId="3" fontId="33" fillId="29" borderId="110" xfId="32" applyNumberFormat="1" applyFont="1" applyFill="1" applyBorder="1" applyAlignment="1">
      <alignment horizontal="center" vertical="center"/>
    </xf>
    <xf numFmtId="3" fontId="39" fillId="29" borderId="47" xfId="32" applyNumberFormat="1" applyFont="1" applyFill="1" applyBorder="1" applyAlignment="1">
      <alignment horizontal="center" vertical="center"/>
    </xf>
    <xf numFmtId="3" fontId="39" fillId="29" borderId="48" xfId="32" applyNumberFormat="1" applyFont="1" applyFill="1" applyBorder="1" applyAlignment="1">
      <alignment horizontal="center" vertical="center"/>
    </xf>
    <xf numFmtId="3" fontId="60" fillId="29" borderId="43" xfId="32" applyNumberFormat="1" applyFont="1" applyFill="1" applyBorder="1" applyAlignment="1">
      <alignment horizontal="center" vertical="center"/>
    </xf>
    <xf numFmtId="3" fontId="4" fillId="3" borderId="15" xfId="32" applyNumberFormat="1" applyFont="1" applyFill="1" applyBorder="1" applyAlignment="1" applyProtection="1">
      <alignment horizontal="center" vertical="center"/>
      <protection locked="0"/>
    </xf>
    <xf numFmtId="0" fontId="33" fillId="30" borderId="5" xfId="32" applyFont="1" applyFill="1" applyBorder="1" applyAlignment="1">
      <alignment horizontal="center" vertical="center"/>
    </xf>
    <xf numFmtId="0" fontId="34" fillId="0" borderId="5" xfId="0" applyFont="1" applyFill="1" applyBorder="1" applyAlignment="1">
      <alignment horizontal="center" vertical="center"/>
    </xf>
    <xf numFmtId="9" fontId="34" fillId="30" borderId="5" xfId="1" applyFont="1" applyFill="1" applyBorder="1" applyAlignment="1">
      <alignment horizontal="center" vertical="center"/>
    </xf>
    <xf numFmtId="3" fontId="34" fillId="30" borderId="25" xfId="32" applyNumberFormat="1" applyFont="1" applyFill="1" applyBorder="1" applyAlignment="1">
      <alignment horizontal="left" vertical="center" wrapText="1"/>
    </xf>
    <xf numFmtId="3" fontId="4" fillId="3" borderId="49" xfId="32" applyNumberFormat="1" applyFont="1" applyFill="1" applyBorder="1" applyAlignment="1" applyProtection="1">
      <alignment horizontal="center" vertical="center"/>
      <protection locked="0"/>
    </xf>
    <xf numFmtId="3" fontId="4" fillId="3" borderId="50" xfId="32" applyNumberFormat="1" applyFont="1" applyFill="1" applyBorder="1" applyAlignment="1" applyProtection="1">
      <alignment horizontal="center" vertical="center"/>
      <protection locked="0"/>
    </xf>
    <xf numFmtId="3" fontId="4" fillId="3" borderId="44" xfId="32" applyNumberFormat="1" applyFont="1" applyFill="1" applyBorder="1" applyAlignment="1" applyProtection="1">
      <alignment horizontal="center" vertical="center"/>
      <protection locked="0"/>
    </xf>
    <xf numFmtId="3" fontId="4" fillId="3" borderId="31" xfId="32" applyNumberFormat="1" applyFont="1" applyFill="1" applyBorder="1" applyAlignment="1" applyProtection="1">
      <alignment horizontal="center" vertical="center"/>
      <protection locked="0"/>
    </xf>
    <xf numFmtId="3" fontId="33" fillId="30" borderId="33" xfId="32" applyNumberFormat="1" applyFont="1" applyFill="1" applyBorder="1" applyAlignment="1">
      <alignment horizontal="center" vertical="center"/>
    </xf>
    <xf numFmtId="3" fontId="35" fillId="0" borderId="49" xfId="32" applyNumberFormat="1" applyFont="1" applyFill="1" applyBorder="1" applyAlignment="1">
      <alignment horizontal="center" vertical="center"/>
    </xf>
    <xf numFmtId="3" fontId="35" fillId="0" borderId="50" xfId="32" applyNumberFormat="1" applyFont="1" applyFill="1" applyBorder="1" applyAlignment="1">
      <alignment horizontal="center" vertical="center"/>
    </xf>
    <xf numFmtId="3" fontId="34" fillId="0" borderId="44" xfId="32" applyNumberFormat="1" applyFont="1" applyFill="1" applyBorder="1" applyAlignment="1">
      <alignment horizontal="center" vertical="center"/>
    </xf>
    <xf numFmtId="3" fontId="34" fillId="0" borderId="31" xfId="32" applyNumberFormat="1" applyFont="1" applyFill="1" applyBorder="1" applyAlignment="1">
      <alignment horizontal="center" vertical="center"/>
    </xf>
    <xf numFmtId="3" fontId="34" fillId="0" borderId="61" xfId="32" applyNumberFormat="1" applyFont="1" applyFill="1" applyBorder="1" applyAlignment="1">
      <alignment horizontal="center" vertical="center"/>
    </xf>
    <xf numFmtId="3" fontId="80" fillId="29" borderId="50" xfId="32" applyNumberFormat="1" applyFont="1" applyFill="1" applyBorder="1" applyAlignment="1">
      <alignment horizontal="center" vertical="center"/>
    </xf>
    <xf numFmtId="3" fontId="4" fillId="3" borderId="25" xfId="32" applyNumberFormat="1" applyFont="1" applyFill="1" applyBorder="1" applyAlignment="1" applyProtection="1">
      <alignment horizontal="center" vertical="center"/>
      <protection locked="0"/>
    </xf>
    <xf numFmtId="3" fontId="4" fillId="3" borderId="5" xfId="32" applyNumberFormat="1" applyFont="1" applyFill="1" applyBorder="1" applyAlignment="1" applyProtection="1">
      <alignment horizontal="center" vertical="center"/>
      <protection locked="0"/>
    </xf>
    <xf numFmtId="3" fontId="35" fillId="30" borderId="5" xfId="32" applyNumberFormat="1" applyFont="1" applyFill="1" applyBorder="1" applyAlignment="1">
      <alignment horizontal="left" vertical="center" wrapText="1"/>
    </xf>
    <xf numFmtId="0" fontId="33" fillId="34" borderId="2" xfId="32" applyFont="1" applyFill="1" applyBorder="1" applyAlignment="1">
      <alignment horizontal="center" vertical="center"/>
    </xf>
    <xf numFmtId="0" fontId="33" fillId="34" borderId="2" xfId="32" applyFont="1" applyFill="1" applyBorder="1" applyAlignment="1">
      <alignment horizontal="left" vertical="center"/>
    </xf>
    <xf numFmtId="0" fontId="33" fillId="34" borderId="2" xfId="32" applyFont="1" applyFill="1" applyBorder="1" applyAlignment="1">
      <alignment vertical="center" wrapText="1"/>
    </xf>
    <xf numFmtId="3" fontId="39" fillId="34" borderId="38" xfId="32" applyNumberFormat="1" applyFont="1" applyFill="1" applyBorder="1" applyAlignment="1">
      <alignment horizontal="center" vertical="center"/>
    </xf>
    <xf numFmtId="3" fontId="39" fillId="34" borderId="10" xfId="32" applyNumberFormat="1" applyFont="1" applyFill="1" applyBorder="1" applyAlignment="1">
      <alignment horizontal="center" vertical="center"/>
    </xf>
    <xf numFmtId="3" fontId="33" fillId="34" borderId="65" xfId="32" applyNumberFormat="1" applyFont="1" applyFill="1" applyBorder="1" applyAlignment="1">
      <alignment horizontal="center" vertical="center"/>
    </xf>
    <xf numFmtId="3" fontId="33" fillId="34" borderId="9" xfId="32" applyNumberFormat="1" applyFont="1" applyFill="1" applyBorder="1" applyAlignment="1">
      <alignment horizontal="center" vertical="center"/>
    </xf>
    <xf numFmtId="3" fontId="33" fillId="34" borderId="10" xfId="32" applyNumberFormat="1" applyFont="1" applyFill="1" applyBorder="1" applyAlignment="1">
      <alignment horizontal="center" vertical="center"/>
    </xf>
    <xf numFmtId="3" fontId="33" fillId="34" borderId="1" xfId="32" applyNumberFormat="1" applyFont="1" applyFill="1" applyBorder="1" applyAlignment="1">
      <alignment horizontal="center" vertical="center"/>
    </xf>
    <xf numFmtId="3" fontId="33" fillId="34" borderId="60" xfId="32" applyNumberFormat="1" applyFont="1" applyFill="1" applyBorder="1" applyAlignment="1">
      <alignment horizontal="center" vertical="center"/>
    </xf>
    <xf numFmtId="3" fontId="60" fillId="34" borderId="3" xfId="32" applyNumberFormat="1" applyFont="1" applyFill="1" applyBorder="1" applyAlignment="1">
      <alignment horizontal="center" vertical="center"/>
    </xf>
    <xf numFmtId="3" fontId="34" fillId="32" borderId="38" xfId="49" applyNumberFormat="1" applyFont="1" applyFill="1" applyBorder="1" applyAlignment="1" applyProtection="1">
      <alignment horizontal="right"/>
      <protection locked="0"/>
    </xf>
    <xf numFmtId="3" fontId="34" fillId="32" borderId="60" xfId="49" applyNumberFormat="1" applyFont="1" applyFill="1" applyBorder="1" applyAlignment="1" applyProtection="1">
      <alignment horizontal="right"/>
      <protection locked="0"/>
    </xf>
    <xf numFmtId="3" fontId="34" fillId="32" borderId="2" xfId="49" applyNumberFormat="1" applyFont="1" applyFill="1" applyBorder="1" applyAlignment="1" applyProtection="1">
      <alignment horizontal="center"/>
      <protection locked="0"/>
    </xf>
    <xf numFmtId="3" fontId="34" fillId="32" borderId="65" xfId="49" applyNumberFormat="1" applyFont="1" applyFill="1" applyBorder="1" applyAlignment="1" applyProtection="1">
      <alignment horizontal="center"/>
      <protection locked="0"/>
    </xf>
    <xf numFmtId="3" fontId="34" fillId="32" borderId="9" xfId="49" applyNumberFormat="1" applyFont="1" applyFill="1" applyBorder="1" applyAlignment="1" applyProtection="1">
      <alignment horizontal="center"/>
      <protection locked="0"/>
    </xf>
    <xf numFmtId="3" fontId="34" fillId="32" borderId="10"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left"/>
      <protection locked="0"/>
    </xf>
    <xf numFmtId="3" fontId="34" fillId="0" borderId="5" xfId="32" applyNumberFormat="1" applyFont="1" applyFill="1" applyBorder="1" applyAlignment="1">
      <alignment horizontal="center" vertical="center" wrapText="1"/>
    </xf>
    <xf numFmtId="3" fontId="34" fillId="0" borderId="17" xfId="32" applyNumberFormat="1" applyFont="1" applyFill="1" applyBorder="1" applyAlignment="1">
      <alignment horizontal="center" vertical="center" wrapText="1"/>
    </xf>
    <xf numFmtId="1" fontId="33" fillId="40" borderId="43" xfId="32" applyNumberFormat="1" applyFont="1" applyFill="1" applyBorder="1" applyAlignment="1">
      <alignment horizontal="center" vertical="center"/>
    </xf>
    <xf numFmtId="3" fontId="34" fillId="32" borderId="3" xfId="49" applyNumberFormat="1" applyFont="1" applyFill="1" applyBorder="1" applyAlignment="1" applyProtection="1">
      <alignment horizontal="center"/>
      <protection locked="0"/>
    </xf>
    <xf numFmtId="3" fontId="34" fillId="29" borderId="5" xfId="32" applyNumberFormat="1" applyFont="1" applyFill="1" applyBorder="1" applyAlignment="1">
      <alignment horizontal="center" vertical="center" wrapText="1"/>
    </xf>
    <xf numFmtId="0" fontId="33" fillId="40" borderId="2" xfId="0" applyFont="1" applyFill="1" applyBorder="1" applyAlignment="1">
      <alignment horizontal="center" vertical="center" wrapText="1"/>
    </xf>
    <xf numFmtId="0" fontId="33" fillId="24" borderId="39" xfId="32" applyFont="1" applyFill="1" applyBorder="1" applyAlignment="1">
      <alignment horizontal="center" vertical="center"/>
    </xf>
    <xf numFmtId="0" fontId="34" fillId="0" borderId="39" xfId="0" applyFont="1" applyFill="1" applyBorder="1" applyAlignment="1">
      <alignment horizontal="center" vertical="center"/>
    </xf>
    <xf numFmtId="3" fontId="34" fillId="30" borderId="36" xfId="32" applyNumberFormat="1" applyFont="1" applyFill="1" applyBorder="1" applyAlignment="1">
      <alignment horizontal="left" vertical="center" wrapText="1"/>
    </xf>
    <xf numFmtId="3" fontId="33" fillId="30" borderId="37" xfId="32" applyNumberFormat="1" applyFont="1" applyFill="1" applyBorder="1" applyAlignment="1">
      <alignment horizontal="center" vertical="center"/>
    </xf>
    <xf numFmtId="3" fontId="80" fillId="29" borderId="55" xfId="32" applyNumberFormat="1" applyFont="1" applyFill="1" applyBorder="1" applyAlignment="1">
      <alignment horizontal="center" vertical="center"/>
    </xf>
    <xf numFmtId="3" fontId="4" fillId="3" borderId="36" xfId="32" applyNumberFormat="1" applyFont="1" applyFill="1" applyBorder="1" applyAlignment="1" applyProtection="1">
      <alignment horizontal="center" vertical="center"/>
      <protection locked="0"/>
    </xf>
    <xf numFmtId="3" fontId="4" fillId="3" borderId="39" xfId="32" applyNumberFormat="1" applyFont="1" applyFill="1" applyBorder="1" applyAlignment="1" applyProtection="1">
      <alignment horizontal="center" vertical="center"/>
      <protection locked="0"/>
    </xf>
    <xf numFmtId="3" fontId="34" fillId="0" borderId="39" xfId="32" applyNumberFormat="1" applyFont="1" applyFill="1" applyBorder="1" applyAlignment="1">
      <alignment horizontal="center" vertical="center" wrapText="1"/>
    </xf>
    <xf numFmtId="3" fontId="35" fillId="0" borderId="39" xfId="32" applyNumberFormat="1" applyFont="1" applyFill="1" applyBorder="1" applyAlignment="1">
      <alignment horizontal="left" vertical="center" wrapText="1"/>
    </xf>
    <xf numFmtId="0" fontId="34" fillId="30" borderId="5" xfId="32" applyFont="1" applyFill="1" applyBorder="1" applyAlignment="1">
      <alignment horizontal="center" vertical="center"/>
    </xf>
    <xf numFmtId="0" fontId="34" fillId="0" borderId="5" xfId="32" applyFont="1" applyFill="1" applyBorder="1" applyAlignment="1">
      <alignment horizontal="center" vertical="center"/>
    </xf>
    <xf numFmtId="3" fontId="34" fillId="30" borderId="5" xfId="32" applyNumberFormat="1" applyFont="1" applyFill="1" applyBorder="1" applyAlignment="1">
      <alignment horizontal="left" vertical="center" wrapText="1"/>
    </xf>
    <xf numFmtId="3" fontId="33" fillId="30" borderId="25" xfId="32" applyNumberFormat="1" applyFont="1" applyFill="1" applyBorder="1" applyAlignment="1">
      <alignment horizontal="center" vertical="center"/>
    </xf>
    <xf numFmtId="3" fontId="80" fillId="3" borderId="50" xfId="32" applyNumberFormat="1" applyFont="1" applyFill="1" applyBorder="1" applyAlignment="1">
      <alignment horizontal="center" vertical="center"/>
    </xf>
    <xf numFmtId="3" fontId="35" fillId="29" borderId="5" xfId="32" applyNumberFormat="1" applyFont="1" applyFill="1" applyBorder="1" applyAlignment="1">
      <alignment horizontal="left" vertical="center" wrapText="1"/>
    </xf>
    <xf numFmtId="3" fontId="60" fillId="34" borderId="10" xfId="32" applyNumberFormat="1" applyFont="1" applyFill="1" applyBorder="1" applyAlignment="1">
      <alignment horizontal="center" vertical="center"/>
    </xf>
    <xf numFmtId="3" fontId="33" fillId="34" borderId="2" xfId="32" applyNumberFormat="1" applyFont="1" applyFill="1" applyBorder="1" applyAlignment="1">
      <alignment horizontal="right" vertical="center" wrapText="1"/>
    </xf>
    <xf numFmtId="3" fontId="33" fillId="34" borderId="10" xfId="32" applyNumberFormat="1" applyFont="1" applyFill="1" applyBorder="1" applyAlignment="1">
      <alignment horizontal="right" vertical="center" wrapText="1"/>
    </xf>
    <xf numFmtId="3" fontId="33" fillId="34" borderId="2" xfId="32" applyNumberFormat="1" applyFont="1" applyFill="1" applyBorder="1" applyAlignment="1">
      <alignment horizontal="center" vertical="center" wrapText="1"/>
    </xf>
    <xf numFmtId="3" fontId="33" fillId="34" borderId="65" xfId="32" applyNumberFormat="1" applyFont="1" applyFill="1" applyBorder="1" applyAlignment="1">
      <alignment horizontal="center" vertical="center" wrapText="1"/>
    </xf>
    <xf numFmtId="3" fontId="33" fillId="34" borderId="9" xfId="32" applyNumberFormat="1" applyFont="1" applyFill="1" applyBorder="1" applyAlignment="1">
      <alignment horizontal="center" vertical="center" wrapText="1"/>
    </xf>
    <xf numFmtId="3" fontId="33" fillId="34" borderId="10" xfId="32" applyNumberFormat="1" applyFont="1" applyFill="1" applyBorder="1" applyAlignment="1">
      <alignment horizontal="center" vertical="center" wrapText="1"/>
    </xf>
    <xf numFmtId="0" fontId="39" fillId="34" borderId="2" xfId="32" applyFont="1" applyFill="1" applyBorder="1" applyAlignment="1">
      <alignment horizontal="left" vertical="center" wrapText="1"/>
    </xf>
    <xf numFmtId="0" fontId="34" fillId="0" borderId="39" xfId="32" applyFont="1" applyFill="1" applyBorder="1" applyAlignment="1">
      <alignment horizontal="center" vertical="center"/>
    </xf>
    <xf numFmtId="3" fontId="34" fillId="0" borderId="5" xfId="32" applyNumberFormat="1" applyFont="1" applyFill="1" applyBorder="1" applyAlignment="1">
      <alignment horizontal="left" vertical="center" wrapText="1"/>
    </xf>
    <xf numFmtId="9" fontId="34" fillId="0" borderId="5" xfId="1" applyFont="1" applyFill="1" applyBorder="1" applyAlignment="1">
      <alignment horizontal="center" vertical="center"/>
    </xf>
    <xf numFmtId="3" fontId="4" fillId="3" borderId="6" xfId="32" applyNumberFormat="1" applyFont="1" applyFill="1" applyBorder="1" applyAlignment="1" applyProtection="1">
      <alignment horizontal="center" vertical="center"/>
      <protection locked="0"/>
    </xf>
    <xf numFmtId="3" fontId="35" fillId="0" borderId="5" xfId="32" applyNumberFormat="1" applyFont="1" applyFill="1" applyBorder="1" applyAlignment="1">
      <alignment horizontal="left" vertical="center" wrapText="1"/>
    </xf>
    <xf numFmtId="9" fontId="34" fillId="0" borderId="39" xfId="1" applyFont="1" applyFill="1" applyBorder="1" applyAlignment="1">
      <alignment horizontal="center" vertical="center"/>
    </xf>
    <xf numFmtId="3" fontId="34" fillId="0" borderId="39" xfId="32" applyNumberFormat="1" applyFont="1" applyFill="1" applyBorder="1" applyAlignment="1">
      <alignment horizontal="left" vertical="center" wrapText="1"/>
    </xf>
    <xf numFmtId="3" fontId="4" fillId="3" borderId="18" xfId="32" applyNumberFormat="1" applyFont="1" applyFill="1" applyBorder="1" applyAlignment="1" applyProtection="1">
      <alignment horizontal="center" vertical="center"/>
      <protection locked="0"/>
    </xf>
    <xf numFmtId="0" fontId="34" fillId="24" borderId="5" xfId="32" applyFont="1" applyFill="1" applyBorder="1" applyAlignment="1">
      <alignment horizontal="center" vertical="center"/>
    </xf>
    <xf numFmtId="9" fontId="34" fillId="29" borderId="5" xfId="1" applyFont="1" applyFill="1" applyBorder="1" applyAlignment="1">
      <alignment horizontal="center" vertical="center"/>
    </xf>
    <xf numFmtId="3" fontId="34" fillId="32" borderId="73" xfId="49" applyNumberFormat="1" applyFont="1" applyFill="1" applyBorder="1" applyAlignment="1" applyProtection="1">
      <alignment horizontal="right"/>
      <protection locked="0"/>
    </xf>
    <xf numFmtId="3" fontId="34" fillId="32" borderId="76" xfId="49" applyNumberFormat="1" applyFont="1" applyFill="1" applyBorder="1" applyAlignment="1" applyProtection="1">
      <alignment horizontal="left"/>
      <protection locked="0"/>
    </xf>
    <xf numFmtId="3" fontId="34" fillId="32" borderId="77" xfId="49" applyNumberFormat="1" applyFont="1" applyFill="1" applyBorder="1" applyAlignment="1" applyProtection="1">
      <alignment horizontal="center"/>
      <protection locked="0"/>
    </xf>
    <xf numFmtId="3" fontId="34" fillId="32" borderId="57" xfId="49" applyNumberFormat="1" applyFont="1" applyFill="1" applyBorder="1" applyAlignment="1" applyProtection="1">
      <alignment horizontal="left"/>
      <protection locked="0"/>
    </xf>
    <xf numFmtId="1" fontId="33" fillId="0" borderId="54" xfId="21" applyNumberFormat="1" applyFont="1" applyFill="1" applyBorder="1">
      <alignment horizontal="center" vertical="center" wrapText="1"/>
    </xf>
    <xf numFmtId="1" fontId="33" fillId="0" borderId="63" xfId="21" applyNumberFormat="1" applyFont="1" applyFill="1" applyBorder="1">
      <alignment horizontal="center" vertical="center" wrapText="1"/>
    </xf>
    <xf numFmtId="1" fontId="33" fillId="0" borderId="55" xfId="21" applyNumberFormat="1" applyFont="1" applyFill="1" applyBorder="1">
      <alignment horizontal="center" vertical="center" wrapText="1"/>
    </xf>
    <xf numFmtId="1" fontId="33" fillId="0" borderId="69" xfId="21" applyNumberFormat="1" applyFont="1" applyFill="1" applyBorder="1">
      <alignment horizontal="center" vertical="center" wrapText="1"/>
    </xf>
    <xf numFmtId="1" fontId="33" fillId="0" borderId="64" xfId="21" applyNumberFormat="1" applyFont="1" applyFill="1" applyBorder="1">
      <alignment horizontal="center" vertical="center" wrapText="1"/>
    </xf>
    <xf numFmtId="3" fontId="4" fillId="3" borderId="38" xfId="32" applyNumberFormat="1" applyFont="1" applyFill="1" applyBorder="1" applyAlignment="1" applyProtection="1">
      <alignment horizontal="center" vertical="center"/>
      <protection locked="0"/>
    </xf>
    <xf numFmtId="3" fontId="4" fillId="3" borderId="9" xfId="32" applyNumberFormat="1" applyFont="1" applyFill="1" applyBorder="1" applyAlignment="1" applyProtection="1">
      <alignment horizontal="center" vertical="center"/>
      <protection locked="0"/>
    </xf>
    <xf numFmtId="3" fontId="4" fillId="3" borderId="10" xfId="32" applyNumberFormat="1" applyFont="1" applyFill="1" applyBorder="1" applyAlignment="1" applyProtection="1">
      <alignment horizontal="center" vertical="center"/>
      <protection locked="0"/>
    </xf>
    <xf numFmtId="3" fontId="4" fillId="3" borderId="60" xfId="32" applyNumberFormat="1" applyFont="1" applyFill="1" applyBorder="1" applyAlignment="1" applyProtection="1">
      <alignment horizontal="center" vertical="center"/>
      <protection locked="0"/>
    </xf>
    <xf numFmtId="3" fontId="4" fillId="3" borderId="65" xfId="32" applyNumberFormat="1" applyFont="1" applyFill="1" applyBorder="1" applyAlignment="1" applyProtection="1">
      <alignment horizontal="center" vertical="center"/>
      <protection locked="0"/>
    </xf>
    <xf numFmtId="10" fontId="34" fillId="29" borderId="15" xfId="1" applyNumberFormat="1" applyFont="1" applyFill="1" applyBorder="1" applyAlignment="1">
      <alignment horizontal="right" vertical="center" wrapText="1"/>
    </xf>
    <xf numFmtId="173" fontId="33" fillId="40" borderId="54" xfId="31" applyNumberFormat="1" applyFont="1" applyFill="1" applyBorder="1" applyAlignment="1">
      <alignment vertical="center"/>
    </xf>
    <xf numFmtId="173" fontId="33" fillId="40" borderId="63" xfId="31" applyNumberFormat="1" applyFont="1" applyFill="1" applyBorder="1" applyAlignment="1">
      <alignment vertical="center"/>
    </xf>
    <xf numFmtId="173" fontId="33" fillId="40" borderId="55" xfId="31" applyNumberFormat="1" applyFont="1" applyFill="1" applyBorder="1" applyAlignment="1">
      <alignment vertical="center"/>
    </xf>
    <xf numFmtId="38" fontId="34" fillId="0" borderId="79" xfId="28" applyFont="1" applyFill="1" applyBorder="1">
      <alignment horizontal="right" vertical="center" wrapText="1"/>
    </xf>
    <xf numFmtId="0" fontId="4" fillId="0" borderId="54" xfId="0" applyFont="1" applyFill="1" applyBorder="1" applyAlignment="1">
      <alignment horizontal="center"/>
    </xf>
    <xf numFmtId="0" fontId="33" fillId="0" borderId="64" xfId="49" applyFont="1" applyFill="1" applyBorder="1" applyAlignment="1" applyProtection="1">
      <alignment horizontal="left" vertical="center" wrapText="1"/>
    </xf>
    <xf numFmtId="0" fontId="4" fillId="0" borderId="38" xfId="0" applyFont="1" applyFill="1" applyBorder="1" applyAlignment="1">
      <alignment horizontal="center"/>
    </xf>
    <xf numFmtId="0" fontId="4" fillId="0" borderId="66" xfId="0" applyFont="1" applyFill="1" applyBorder="1" applyAlignment="1">
      <alignment horizontal="center"/>
    </xf>
    <xf numFmtId="9" fontId="33" fillId="0" borderId="4" xfId="21" applyNumberFormat="1" applyFont="1" applyFill="1" applyBorder="1">
      <alignment horizontal="center" vertical="center" wrapText="1"/>
    </xf>
    <xf numFmtId="9" fontId="33" fillId="0" borderId="67" xfId="21" applyNumberFormat="1" applyFont="1" applyFill="1" applyBorder="1">
      <alignment horizontal="center" vertical="center" wrapText="1"/>
    </xf>
    <xf numFmtId="9" fontId="33" fillId="0" borderId="66" xfId="21" applyNumberFormat="1" applyFont="1" applyFill="1" applyBorder="1">
      <alignment horizontal="center" vertical="center" wrapText="1"/>
    </xf>
    <xf numFmtId="9" fontId="33" fillId="0" borderId="68" xfId="21" applyNumberFormat="1" applyFont="1" applyFill="1" applyBorder="1">
      <alignment horizontal="center" vertical="center" wrapText="1"/>
    </xf>
    <xf numFmtId="9" fontId="33" fillId="0" borderId="13" xfId="21" applyNumberFormat="1" applyFont="1" applyFill="1" applyBorder="1">
      <alignment horizontal="center" vertical="center" wrapText="1"/>
    </xf>
    <xf numFmtId="0" fontId="4" fillId="0" borderId="51" xfId="0" applyFont="1" applyBorder="1" applyAlignment="1">
      <alignment horizontal="center"/>
    </xf>
    <xf numFmtId="0" fontId="4" fillId="0" borderId="17" xfId="0" applyFont="1" applyBorder="1" applyAlignment="1">
      <alignment horizontal="center"/>
    </xf>
    <xf numFmtId="16" fontId="4" fillId="0" borderId="21" xfId="0" applyNumberFormat="1" applyFont="1" applyBorder="1" applyAlignment="1">
      <alignment horizontal="center"/>
    </xf>
    <xf numFmtId="0" fontId="34" fillId="29" borderId="25" xfId="49" applyFont="1" applyFill="1" applyBorder="1" applyAlignment="1">
      <alignment wrapText="1"/>
    </xf>
    <xf numFmtId="0" fontId="34" fillId="29" borderId="24" xfId="49" applyFont="1" applyFill="1" applyBorder="1" applyAlignment="1">
      <alignment wrapText="1"/>
    </xf>
    <xf numFmtId="3" fontId="33" fillId="34" borderId="35" xfId="49" applyNumberFormat="1" applyFont="1" applyFill="1" applyBorder="1" applyAlignment="1">
      <alignment horizontal="center" wrapText="1"/>
    </xf>
    <xf numFmtId="49" fontId="34" fillId="29" borderId="24" xfId="49" applyNumberFormat="1" applyFont="1" applyFill="1" applyBorder="1" applyAlignment="1">
      <alignment wrapText="1"/>
    </xf>
    <xf numFmtId="49" fontId="34" fillId="29" borderId="24" xfId="49" applyNumberFormat="1" applyFont="1" applyFill="1" applyBorder="1" applyAlignment="1">
      <alignment horizontal="right" wrapText="1"/>
    </xf>
    <xf numFmtId="49" fontId="34" fillId="29" borderId="24" xfId="49" applyNumberFormat="1" applyFont="1" applyFill="1" applyBorder="1" applyAlignment="1">
      <alignment horizontal="left" wrapText="1"/>
    </xf>
    <xf numFmtId="0" fontId="34" fillId="29" borderId="24" xfId="49" applyFont="1" applyFill="1" applyBorder="1" applyAlignment="1">
      <alignment horizontal="right" vertical="center" wrapText="1"/>
    </xf>
    <xf numFmtId="49" fontId="34" fillId="29" borderId="24" xfId="49" applyNumberFormat="1" applyFont="1" applyFill="1" applyBorder="1" applyAlignment="1">
      <alignment horizontal="left" vertical="center" wrapText="1"/>
    </xf>
    <xf numFmtId="0" fontId="34" fillId="29" borderId="24" xfId="49" applyFont="1" applyFill="1" applyBorder="1" applyAlignment="1">
      <alignment horizontal="left" vertical="center" wrapText="1"/>
    </xf>
    <xf numFmtId="0" fontId="34" fillId="29" borderId="25" xfId="0" applyFont="1" applyFill="1" applyBorder="1" applyAlignment="1">
      <alignment vertical="center" wrapText="1"/>
    </xf>
    <xf numFmtId="49" fontId="34" fillId="30" borderId="24" xfId="49" applyNumberFormat="1" applyFont="1" applyFill="1" applyBorder="1" applyAlignment="1">
      <alignment wrapText="1"/>
    </xf>
    <xf numFmtId="49" fontId="34" fillId="30" borderId="36" xfId="49" applyNumberFormat="1" applyFont="1" applyFill="1" applyBorder="1" applyAlignment="1">
      <alignment wrapText="1"/>
    </xf>
    <xf numFmtId="0" fontId="4" fillId="29" borderId="25" xfId="49" applyFont="1" applyFill="1" applyBorder="1" applyAlignment="1">
      <alignment wrapText="1"/>
    </xf>
    <xf numFmtId="3" fontId="13" fillId="30" borderId="58" xfId="49" applyNumberFormat="1" applyFont="1" applyFill="1" applyBorder="1" applyAlignment="1">
      <alignment horizontal="center" vertical="center" wrapText="1"/>
    </xf>
    <xf numFmtId="3" fontId="13" fillId="30" borderId="59" xfId="49" applyNumberFormat="1" applyFont="1" applyFill="1" applyBorder="1" applyAlignment="1">
      <alignment horizontal="center" vertical="center" wrapText="1"/>
    </xf>
    <xf numFmtId="3" fontId="13" fillId="30" borderId="26" xfId="49" applyNumberFormat="1" applyFont="1" applyFill="1" applyBorder="1" applyAlignment="1">
      <alignment horizontal="center" vertical="center" wrapText="1"/>
    </xf>
    <xf numFmtId="3" fontId="13" fillId="30" borderId="80" xfId="49" applyNumberFormat="1" applyFont="1" applyFill="1" applyBorder="1" applyAlignment="1">
      <alignment horizontal="center" vertical="center" wrapText="1"/>
    </xf>
    <xf numFmtId="0" fontId="13" fillId="30" borderId="25" xfId="49" applyFont="1" applyFill="1" applyBorder="1" applyAlignment="1">
      <alignment wrapText="1"/>
    </xf>
    <xf numFmtId="0" fontId="4" fillId="29" borderId="24" xfId="49" applyFont="1" applyFill="1" applyBorder="1" applyAlignment="1">
      <alignment vertical="center" wrapText="1"/>
    </xf>
    <xf numFmtId="0" fontId="13" fillId="29" borderId="24" xfId="49" applyFont="1" applyFill="1" applyBorder="1" applyAlignment="1">
      <alignment wrapText="1"/>
    </xf>
    <xf numFmtId="9" fontId="4" fillId="29" borderId="24" xfId="49" applyNumberFormat="1" applyFont="1" applyFill="1" applyBorder="1" applyAlignment="1">
      <alignment horizontal="left" vertical="center"/>
    </xf>
    <xf numFmtId="49" fontId="13" fillId="29" borderId="24" xfId="49" applyNumberFormat="1" applyFont="1" applyFill="1" applyBorder="1" applyAlignment="1">
      <alignment wrapText="1"/>
    </xf>
    <xf numFmtId="49" fontId="4" fillId="29" borderId="24" xfId="49" applyNumberFormat="1" applyFont="1" applyFill="1" applyBorder="1" applyAlignment="1">
      <alignment horizontal="left" wrapText="1"/>
    </xf>
    <xf numFmtId="49" fontId="36" fillId="29" borderId="24" xfId="49" applyNumberFormat="1" applyFont="1" applyFill="1" applyBorder="1" applyAlignment="1">
      <alignment horizontal="right" wrapText="1"/>
    </xf>
    <xf numFmtId="49" fontId="13" fillId="29" borderId="24" xfId="49" applyNumberFormat="1" applyFont="1" applyFill="1" applyBorder="1" applyAlignment="1">
      <alignment horizontal="left" wrapText="1"/>
    </xf>
    <xf numFmtId="0" fontId="36" fillId="29" borderId="24" xfId="49" applyFont="1" applyFill="1" applyBorder="1" applyAlignment="1">
      <alignment horizontal="right" vertical="center" wrapText="1"/>
    </xf>
    <xf numFmtId="0" fontId="4" fillId="29" borderId="24" xfId="49" applyFont="1" applyFill="1" applyBorder="1" applyAlignment="1">
      <alignment horizontal="left" vertical="center" wrapText="1"/>
    </xf>
    <xf numFmtId="0" fontId="13" fillId="29" borderId="24" xfId="49" applyFont="1" applyFill="1" applyBorder="1" applyAlignment="1">
      <alignment horizontal="left" vertical="center" wrapText="1"/>
    </xf>
    <xf numFmtId="49" fontId="13" fillId="30" borderId="30" xfId="49" applyNumberFormat="1" applyFont="1" applyFill="1" applyBorder="1" applyAlignment="1">
      <alignment wrapText="1"/>
    </xf>
    <xf numFmtId="3" fontId="13" fillId="21" borderId="32" xfId="49" applyNumberFormat="1" applyFont="1" applyFill="1" applyBorder="1" applyAlignment="1">
      <alignment horizontal="center" vertical="center"/>
    </xf>
    <xf numFmtId="3" fontId="4" fillId="3" borderId="62" xfId="32" applyNumberFormat="1" applyFont="1" applyFill="1" applyBorder="1" applyAlignment="1" applyProtection="1">
      <alignment horizontal="center" vertical="center"/>
      <protection locked="0"/>
    </xf>
    <xf numFmtId="9" fontId="13" fillId="29" borderId="30" xfId="49" applyNumberFormat="1" applyFont="1" applyFill="1" applyBorder="1" applyAlignment="1">
      <alignment horizontal="center" vertical="center"/>
    </xf>
    <xf numFmtId="168" fontId="35" fillId="0" borderId="17" xfId="49" applyNumberFormat="1" applyFont="1" applyFill="1" applyBorder="1" applyAlignment="1" applyProtection="1">
      <alignment horizontal="center" vertical="center" wrapText="1"/>
    </xf>
    <xf numFmtId="168" fontId="35" fillId="30" borderId="32" xfId="49" applyNumberFormat="1" applyFont="1" applyFill="1" applyBorder="1" applyAlignment="1" applyProtection="1">
      <alignment horizontal="center" vertical="center" wrapText="1"/>
    </xf>
    <xf numFmtId="168" fontId="35" fillId="30" borderId="15" xfId="49" applyNumberFormat="1" applyFont="1" applyFill="1" applyBorder="1" applyAlignment="1" applyProtection="1">
      <alignment horizontal="center" vertical="center" wrapText="1"/>
    </xf>
    <xf numFmtId="168" fontId="34" fillId="0" borderId="24" xfId="49" applyNumberFormat="1" applyFont="1" applyFill="1" applyBorder="1" applyAlignment="1" applyProtection="1">
      <alignment horizontal="center" vertical="center" wrapText="1"/>
    </xf>
    <xf numFmtId="168" fontId="35" fillId="30" borderId="17" xfId="49" applyNumberFormat="1" applyFont="1" applyFill="1" applyBorder="1" applyAlignment="1" applyProtection="1">
      <alignment horizontal="center" vertical="center" wrapText="1"/>
    </xf>
    <xf numFmtId="168" fontId="34" fillId="0" borderId="17" xfId="49" applyNumberFormat="1" applyFont="1" applyFill="1" applyBorder="1" applyAlignment="1" applyProtection="1">
      <alignment horizontal="center" vertical="center" wrapText="1"/>
    </xf>
    <xf numFmtId="168" fontId="34" fillId="30" borderId="32" xfId="49" applyNumberFormat="1" applyFont="1" applyFill="1" applyBorder="1" applyAlignment="1" applyProtection="1">
      <alignment horizontal="center" vertical="center" wrapText="1"/>
    </xf>
    <xf numFmtId="168" fontId="34" fillId="41" borderId="29" xfId="49" applyNumberFormat="1" applyFont="1" applyFill="1" applyBorder="1" applyAlignment="1" applyProtection="1">
      <alignment horizontal="center" vertical="center" wrapText="1"/>
    </xf>
    <xf numFmtId="168" fontId="34" fillId="41" borderId="51" xfId="49" applyNumberFormat="1" applyFont="1" applyFill="1" applyBorder="1" applyAlignment="1" applyProtection="1">
      <alignment horizontal="center" vertical="center" wrapText="1"/>
    </xf>
    <xf numFmtId="168" fontId="34" fillId="41" borderId="72" xfId="49" applyNumberFormat="1" applyFont="1" applyFill="1" applyBorder="1" applyAlignment="1" applyProtection="1">
      <alignment horizontal="center" vertical="center" wrapText="1"/>
    </xf>
    <xf numFmtId="168" fontId="34" fillId="41" borderId="73" xfId="49" applyNumberFormat="1" applyFont="1" applyFill="1" applyBorder="1" applyAlignment="1" applyProtection="1">
      <alignment horizontal="center" vertical="center" wrapText="1"/>
    </xf>
    <xf numFmtId="168" fontId="34" fillId="41" borderId="76" xfId="49" applyNumberFormat="1" applyFont="1" applyFill="1" applyBorder="1" applyAlignment="1" applyProtection="1">
      <alignment horizontal="center" vertical="center" wrapText="1"/>
    </xf>
    <xf numFmtId="168" fontId="34" fillId="41" borderId="24" xfId="49" applyNumberFormat="1" applyFont="1" applyFill="1" applyBorder="1" applyAlignment="1" applyProtection="1">
      <alignment horizontal="center" vertical="center" wrapText="1"/>
    </xf>
    <xf numFmtId="168" fontId="34" fillId="41" borderId="17" xfId="49" applyNumberFormat="1" applyFont="1" applyFill="1" applyBorder="1" applyAlignment="1" applyProtection="1">
      <alignment horizontal="center" vertical="center" wrapText="1"/>
    </xf>
    <xf numFmtId="168" fontId="34" fillId="41" borderId="32" xfId="49" applyNumberFormat="1" applyFont="1" applyFill="1" applyBorder="1" applyAlignment="1" applyProtection="1">
      <alignment horizontal="center" vertical="center" wrapText="1"/>
    </xf>
    <xf numFmtId="168" fontId="34" fillId="41" borderId="7" xfId="49" applyNumberFormat="1" applyFont="1" applyFill="1" applyBorder="1" applyAlignment="1" applyProtection="1">
      <alignment horizontal="center" vertical="center" wrapText="1"/>
    </xf>
    <xf numFmtId="168" fontId="34" fillId="41" borderId="53" xfId="49" applyNumberFormat="1" applyFont="1" applyFill="1" applyBorder="1" applyAlignment="1" applyProtection="1">
      <alignment horizontal="center" vertical="center" wrapText="1"/>
    </xf>
    <xf numFmtId="168" fontId="34" fillId="41" borderId="30" xfId="49" applyNumberFormat="1" applyFont="1" applyFill="1" applyBorder="1" applyAlignment="1" applyProtection="1">
      <alignment horizontal="center" vertical="center" wrapText="1"/>
    </xf>
    <xf numFmtId="168" fontId="34" fillId="41" borderId="21" xfId="49" applyNumberFormat="1" applyFont="1" applyFill="1" applyBorder="1" applyAlignment="1" applyProtection="1">
      <alignment horizontal="center" vertical="center" wrapText="1"/>
    </xf>
    <xf numFmtId="168" fontId="34" fillId="41" borderId="79" xfId="49" applyNumberFormat="1" applyFont="1" applyFill="1" applyBorder="1" applyAlignment="1" applyProtection="1">
      <alignment horizontal="center" vertical="center" wrapText="1"/>
    </xf>
    <xf numFmtId="168" fontId="34" fillId="41" borderId="77" xfId="49" applyNumberFormat="1" applyFont="1" applyFill="1" applyBorder="1" applyAlignment="1" applyProtection="1">
      <alignment horizontal="center" vertical="center" wrapText="1"/>
    </xf>
    <xf numFmtId="168" fontId="34" fillId="41" borderId="57" xfId="49" applyNumberFormat="1" applyFont="1" applyFill="1" applyBorder="1" applyAlignment="1" applyProtection="1">
      <alignment horizontal="center" vertical="center" wrapText="1"/>
    </xf>
    <xf numFmtId="3" fontId="34" fillId="32" borderId="25" xfId="49" applyNumberFormat="1" applyFont="1" applyFill="1" applyBorder="1" applyAlignment="1" applyProtection="1">
      <alignment horizontal="right"/>
      <protection locked="0"/>
    </xf>
    <xf numFmtId="3" fontId="34" fillId="32" borderId="24" xfId="49" applyNumberFormat="1" applyFont="1" applyFill="1" applyBorder="1" applyAlignment="1" applyProtection="1">
      <alignment horizontal="right"/>
      <protection locked="0"/>
    </xf>
    <xf numFmtId="3" fontId="34" fillId="32" borderId="30" xfId="49" applyNumberFormat="1" applyFont="1" applyFill="1" applyBorder="1" applyAlignment="1" applyProtection="1">
      <alignment horizontal="right"/>
      <protection locked="0"/>
    </xf>
    <xf numFmtId="168" fontId="123" fillId="29" borderId="27" xfId="49" applyNumberFormat="1" applyFont="1" applyFill="1" applyBorder="1" applyAlignment="1" applyProtection="1">
      <alignment horizontal="center" vertical="center" wrapText="1"/>
      <protection locked="0"/>
    </xf>
    <xf numFmtId="168" fontId="123" fillId="29" borderId="16" xfId="49" applyNumberFormat="1" applyFont="1" applyFill="1" applyBorder="1" applyAlignment="1" applyProtection="1">
      <alignment horizontal="center" vertical="center" wrapText="1"/>
      <protection locked="0"/>
    </xf>
    <xf numFmtId="168" fontId="33" fillId="26" borderId="26" xfId="49" applyNumberFormat="1" applyFont="1" applyFill="1" applyBorder="1" applyAlignment="1" applyProtection="1">
      <alignment horizontal="center" vertical="center" wrapText="1"/>
    </xf>
    <xf numFmtId="168" fontId="33" fillId="26" borderId="66" xfId="49" applyNumberFormat="1" applyFont="1" applyFill="1" applyBorder="1" applyAlignment="1" applyProtection="1">
      <alignment horizontal="center" vertical="center" wrapText="1"/>
    </xf>
    <xf numFmtId="174" fontId="117" fillId="26" borderId="68" xfId="49" applyNumberFormat="1" applyFont="1" applyFill="1" applyBorder="1" applyAlignment="1" applyProtection="1">
      <alignment horizontal="center" vertical="center" wrapText="1"/>
    </xf>
    <xf numFmtId="168" fontId="33" fillId="26" borderId="13" xfId="49" applyNumberFormat="1" applyFont="1" applyFill="1" applyBorder="1" applyAlignment="1" applyProtection="1">
      <alignment horizontal="center" vertical="center" wrapText="1"/>
    </xf>
    <xf numFmtId="168" fontId="33" fillId="26" borderId="0" xfId="49" applyNumberFormat="1" applyFont="1" applyFill="1" applyBorder="1" applyAlignment="1" applyProtection="1">
      <alignment horizontal="center" vertical="center" wrapText="1"/>
    </xf>
    <xf numFmtId="168" fontId="34" fillId="30" borderId="51" xfId="49" applyNumberFormat="1" applyFont="1" applyFill="1" applyBorder="1" applyAlignment="1" applyProtection="1">
      <alignment horizontal="center" vertical="center" wrapText="1"/>
    </xf>
    <xf numFmtId="168" fontId="34" fillId="30" borderId="22" xfId="49" applyNumberFormat="1" applyFont="1" applyFill="1" applyBorder="1" applyAlignment="1" applyProtection="1">
      <alignment horizontal="center" vertical="center" wrapText="1"/>
    </xf>
    <xf numFmtId="3" fontId="4" fillId="3" borderId="23" xfId="32" applyNumberFormat="1" applyFont="1" applyFill="1" applyBorder="1" applyAlignment="1" applyProtection="1">
      <alignment horizontal="center" vertical="center"/>
      <protection locked="0"/>
    </xf>
    <xf numFmtId="168" fontId="34" fillId="30" borderId="23" xfId="49" applyNumberFormat="1" applyFont="1" applyFill="1" applyBorder="1" applyAlignment="1" applyProtection="1">
      <alignment horizontal="center" vertical="center" wrapText="1"/>
    </xf>
    <xf numFmtId="3" fontId="4" fillId="3" borderId="28" xfId="32" applyNumberFormat="1" applyFont="1" applyFill="1" applyBorder="1" applyAlignment="1" applyProtection="1">
      <alignment horizontal="center" vertical="center"/>
      <protection locked="0"/>
    </xf>
    <xf numFmtId="170" fontId="114" fillId="40" borderId="79" xfId="49" applyNumberFormat="1" applyFont="1" applyFill="1" applyBorder="1" applyAlignment="1" applyProtection="1">
      <alignment horizontal="center" wrapText="1"/>
    </xf>
    <xf numFmtId="168" fontId="122" fillId="30" borderId="72" xfId="49" applyNumberFormat="1" applyFont="1" applyFill="1" applyBorder="1" applyAlignment="1" applyProtection="1">
      <alignment horizontal="center" vertical="center" wrapText="1"/>
    </xf>
    <xf numFmtId="168" fontId="114" fillId="30" borderId="32" xfId="49" applyNumberFormat="1" applyFont="1" applyFill="1" applyBorder="1" applyAlignment="1" applyProtection="1">
      <alignment horizontal="center" vertical="center" wrapText="1"/>
    </xf>
    <xf numFmtId="174" fontId="106" fillId="40" borderId="78" xfId="49" applyNumberFormat="1" applyFont="1" applyFill="1" applyBorder="1" applyAlignment="1" applyProtection="1">
      <alignment horizontal="center" wrapText="1"/>
    </xf>
    <xf numFmtId="174" fontId="117" fillId="26" borderId="67" xfId="49" applyNumberFormat="1" applyFont="1" applyFill="1" applyBorder="1" applyAlignment="1" applyProtection="1">
      <alignment horizontal="center" vertical="center" wrapText="1"/>
    </xf>
    <xf numFmtId="174" fontId="106" fillId="30" borderId="74" xfId="49" applyNumberFormat="1" applyFont="1" applyFill="1" applyBorder="1" applyAlignment="1" applyProtection="1">
      <alignment horizontal="center" vertical="center" wrapText="1"/>
    </xf>
    <xf numFmtId="174" fontId="106" fillId="30" borderId="62" xfId="49" applyNumberFormat="1" applyFont="1" applyFill="1" applyBorder="1" applyAlignment="1" applyProtection="1">
      <alignment horizontal="center" vertical="center" wrapText="1"/>
    </xf>
    <xf numFmtId="3" fontId="4" fillId="3" borderId="78" xfId="32" applyNumberFormat="1" applyFont="1" applyFill="1" applyBorder="1" applyAlignment="1" applyProtection="1">
      <alignment horizontal="center" vertical="center"/>
      <protection locked="0"/>
    </xf>
    <xf numFmtId="170" fontId="33" fillId="40" borderId="51" xfId="49" applyNumberFormat="1" applyFont="1" applyFill="1" applyBorder="1" applyAlignment="1" applyProtection="1">
      <alignment horizontal="center"/>
    </xf>
    <xf numFmtId="168" fontId="122" fillId="30" borderId="51" xfId="49" applyNumberFormat="1" applyFont="1" applyFill="1" applyBorder="1" applyAlignment="1" applyProtection="1">
      <alignment horizontal="center" vertical="center" wrapText="1"/>
    </xf>
    <xf numFmtId="168" fontId="115" fillId="26" borderId="0" xfId="49" applyNumberFormat="1" applyFont="1" applyFill="1" applyBorder="1" applyAlignment="1" applyProtection="1">
      <alignment horizontal="center" vertical="center" wrapText="1"/>
    </xf>
    <xf numFmtId="168" fontId="122" fillId="30" borderId="22" xfId="49" applyNumberFormat="1" applyFont="1" applyFill="1" applyBorder="1" applyAlignment="1" applyProtection="1">
      <alignment horizontal="center" vertical="center" wrapText="1"/>
    </xf>
    <xf numFmtId="0" fontId="33" fillId="2" borderId="42" xfId="0" applyFont="1" applyFill="1" applyBorder="1" applyAlignment="1">
      <alignment horizontal="center" vertical="center"/>
    </xf>
    <xf numFmtId="4" fontId="34" fillId="0" borderId="72" xfId="0" applyNumberFormat="1" applyFont="1" applyFill="1" applyBorder="1" applyAlignment="1" applyProtection="1">
      <alignment horizontal="center" vertical="center"/>
    </xf>
    <xf numFmtId="4" fontId="34" fillId="0" borderId="14" xfId="0" applyNumberFormat="1" applyFont="1" applyFill="1" applyBorder="1" applyAlignment="1" applyProtection="1">
      <alignment horizontal="center" vertical="center"/>
    </xf>
    <xf numFmtId="4" fontId="34" fillId="0" borderId="32" xfId="0" applyNumberFormat="1" applyFont="1" applyFill="1" applyBorder="1" applyAlignment="1" applyProtection="1">
      <alignment horizontal="center" vertical="center"/>
    </xf>
    <xf numFmtId="4" fontId="34" fillId="0" borderId="15" xfId="0" applyNumberFormat="1" applyFont="1" applyFill="1" applyBorder="1" applyAlignment="1" applyProtection="1">
      <alignment horizontal="center" vertical="center"/>
    </xf>
    <xf numFmtId="4" fontId="33" fillId="21" borderId="32" xfId="0" applyNumberFormat="1" applyFont="1" applyFill="1" applyBorder="1" applyAlignment="1" applyProtection="1">
      <alignment horizontal="center" vertical="center"/>
    </xf>
    <xf numFmtId="4" fontId="33" fillId="21" borderId="15" xfId="0" applyNumberFormat="1" applyFont="1" applyFill="1" applyBorder="1" applyAlignment="1" applyProtection="1">
      <alignment horizontal="center" vertical="center"/>
    </xf>
    <xf numFmtId="4" fontId="34" fillId="0" borderId="7" xfId="0" applyNumberFormat="1" applyFont="1" applyFill="1" applyBorder="1" applyAlignment="1" applyProtection="1">
      <alignment horizontal="center" vertical="center"/>
    </xf>
    <xf numFmtId="4" fontId="34" fillId="21" borderId="32" xfId="0" applyNumberFormat="1" applyFont="1" applyFill="1" applyBorder="1" applyAlignment="1" applyProtection="1">
      <alignment horizontal="center" vertical="center"/>
    </xf>
    <xf numFmtId="4" fontId="34" fillId="21" borderId="7" xfId="0" applyNumberFormat="1" applyFont="1" applyFill="1" applyBorder="1" applyAlignment="1" applyProtection="1">
      <alignment horizontal="center" vertical="center"/>
    </xf>
    <xf numFmtId="4" fontId="34" fillId="21" borderId="15" xfId="0" applyNumberFormat="1" applyFont="1" applyFill="1" applyBorder="1" applyAlignment="1" applyProtection="1">
      <alignment horizontal="center" vertical="center"/>
    </xf>
    <xf numFmtId="4" fontId="34" fillId="0" borderId="53" xfId="0" applyNumberFormat="1" applyFont="1" applyFill="1" applyBorder="1" applyAlignment="1" applyProtection="1">
      <alignment horizontal="center" vertical="center"/>
    </xf>
    <xf numFmtId="10" fontId="34" fillId="0" borderId="69" xfId="1" applyNumberFormat="1" applyFont="1" applyFill="1" applyBorder="1" applyAlignment="1" applyProtection="1">
      <alignment horizontal="center" vertical="center"/>
    </xf>
    <xf numFmtId="10" fontId="34" fillId="0" borderId="63" xfId="1" applyNumberFormat="1" applyFont="1" applyFill="1" applyBorder="1" applyAlignment="1" applyProtection="1">
      <alignment horizontal="center" vertical="center"/>
    </xf>
    <xf numFmtId="10" fontId="34" fillId="0" borderId="55" xfId="1" applyNumberFormat="1" applyFont="1" applyFill="1" applyBorder="1" applyAlignment="1" applyProtection="1">
      <alignment horizontal="center" vertical="center"/>
    </xf>
    <xf numFmtId="4" fontId="34" fillId="21" borderId="69" xfId="0" applyNumberFormat="1" applyFont="1" applyFill="1" applyBorder="1" applyAlignment="1" applyProtection="1">
      <alignment horizontal="center" vertical="center"/>
    </xf>
    <xf numFmtId="4" fontId="34" fillId="21" borderId="63" xfId="0" applyNumberFormat="1" applyFont="1" applyFill="1" applyBorder="1" applyAlignment="1" applyProtection="1">
      <alignment horizontal="center" vertical="center"/>
    </xf>
    <xf numFmtId="4" fontId="34" fillId="21" borderId="55" xfId="0" applyNumberFormat="1" applyFont="1" applyFill="1" applyBorder="1" applyAlignment="1" applyProtection="1">
      <alignment horizontal="center" vertical="center"/>
    </xf>
    <xf numFmtId="4" fontId="33" fillId="22" borderId="65" xfId="0" applyNumberFormat="1" applyFont="1" applyFill="1" applyBorder="1" applyAlignment="1" applyProtection="1">
      <alignment horizontal="center" vertical="center"/>
    </xf>
    <xf numFmtId="4" fontId="33" fillId="22" borderId="9" xfId="0" applyNumberFormat="1" applyFont="1" applyFill="1" applyBorder="1" applyAlignment="1" applyProtection="1">
      <alignment horizontal="center" vertical="center"/>
    </xf>
    <xf numFmtId="4" fontId="33" fillId="22" borderId="10" xfId="0" applyNumberFormat="1" applyFont="1" applyFill="1" applyBorder="1" applyAlignment="1" applyProtection="1">
      <alignment horizontal="center" vertical="center"/>
    </xf>
    <xf numFmtId="170" fontId="40" fillId="40" borderId="54" xfId="32" applyNumberFormat="1" applyFont="1" applyFill="1" applyBorder="1" applyAlignment="1" applyProtection="1">
      <alignment horizontal="center" wrapText="1"/>
    </xf>
    <xf numFmtId="170" fontId="40" fillId="40" borderId="63" xfId="32" applyNumberFormat="1" applyFont="1" applyFill="1" applyBorder="1" applyAlignment="1" applyProtection="1">
      <alignment horizontal="center" wrapText="1"/>
    </xf>
    <xf numFmtId="0" fontId="13" fillId="0" borderId="40" xfId="40" quotePrefix="1" applyFont="1" applyBorder="1" applyAlignment="1" applyProtection="1">
      <alignment horizontal="center" vertical="center" wrapText="1"/>
    </xf>
    <xf numFmtId="0" fontId="13" fillId="0" borderId="35" xfId="0" applyFont="1" applyBorder="1"/>
    <xf numFmtId="170" fontId="40" fillId="40" borderId="63" xfId="0" applyNumberFormat="1" applyFont="1" applyFill="1" applyBorder="1" applyAlignment="1" applyProtection="1">
      <alignment horizontal="center" wrapText="1"/>
    </xf>
    <xf numFmtId="170" fontId="40" fillId="40" borderId="55" xfId="0" applyNumberFormat="1" applyFont="1" applyFill="1" applyBorder="1" applyAlignment="1" applyProtection="1">
      <alignment horizontal="center" wrapText="1"/>
    </xf>
    <xf numFmtId="3" fontId="38" fillId="0" borderId="72" xfId="0" applyNumberFormat="1" applyFont="1" applyBorder="1" applyAlignment="1">
      <alignment horizontal="center" vertical="center"/>
    </xf>
    <xf numFmtId="3" fontId="38" fillId="0" borderId="73" xfId="0" applyNumberFormat="1" applyFont="1" applyBorder="1" applyAlignment="1">
      <alignment horizontal="center" vertical="center"/>
    </xf>
    <xf numFmtId="3" fontId="38" fillId="0" borderId="76" xfId="0" applyNumberFormat="1" applyFont="1" applyBorder="1" applyAlignment="1">
      <alignment horizontal="center" vertical="center"/>
    </xf>
    <xf numFmtId="3" fontId="38" fillId="32" borderId="24" xfId="49" applyNumberFormat="1" applyFont="1" applyFill="1" applyBorder="1" applyAlignment="1" applyProtection="1">
      <alignment horizontal="center"/>
      <protection locked="0"/>
    </xf>
    <xf numFmtId="3" fontId="38" fillId="32" borderId="30" xfId="49" applyNumberFormat="1" applyFont="1" applyFill="1" applyBorder="1" applyAlignment="1" applyProtection="1">
      <alignment horizontal="center"/>
      <protection locked="0"/>
    </xf>
    <xf numFmtId="170" fontId="14" fillId="40" borderId="58" xfId="0" applyNumberFormat="1" applyFont="1" applyFill="1" applyBorder="1" applyAlignment="1" applyProtection="1">
      <alignment horizontal="center" wrapText="1"/>
    </xf>
    <xf numFmtId="170" fontId="14" fillId="40" borderId="41" xfId="0" applyNumberFormat="1" applyFont="1" applyFill="1" applyBorder="1" applyAlignment="1" applyProtection="1">
      <alignment horizontal="center" wrapText="1"/>
    </xf>
    <xf numFmtId="0" fontId="13" fillId="40" borderId="45" xfId="0" applyFont="1" applyFill="1" applyBorder="1" applyAlignment="1" applyProtection="1">
      <alignment horizontal="center" vertical="center" wrapText="1"/>
    </xf>
    <xf numFmtId="0" fontId="33" fillId="40" borderId="58" xfId="0" applyFont="1" applyFill="1" applyBorder="1" applyAlignment="1" applyProtection="1">
      <alignment horizontal="center" vertical="center" wrapText="1"/>
    </xf>
    <xf numFmtId="49" fontId="13" fillId="0" borderId="75" xfId="0" applyNumberFormat="1" applyFont="1" applyBorder="1" applyAlignment="1" applyProtection="1">
      <alignment horizontal="center" vertical="center"/>
    </xf>
    <xf numFmtId="0" fontId="4" fillId="0" borderId="73" xfId="0" applyFont="1" applyFill="1" applyBorder="1" applyAlignment="1" applyProtection="1">
      <alignment vertical="center" wrapText="1"/>
    </xf>
    <xf numFmtId="49" fontId="4" fillId="0" borderId="56" xfId="0" applyNumberFormat="1" applyFont="1" applyBorder="1" applyAlignment="1" applyProtection="1">
      <alignment horizontal="center" vertical="center"/>
    </xf>
    <xf numFmtId="0" fontId="4" fillId="0" borderId="77" xfId="0" applyFont="1" applyFill="1" applyBorder="1" applyAlignment="1" applyProtection="1">
      <alignment horizontal="left" vertical="center" wrapText="1"/>
    </xf>
    <xf numFmtId="0" fontId="4" fillId="0" borderId="77" xfId="0" applyFont="1" applyFill="1" applyBorder="1" applyAlignment="1" applyProtection="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4" fillId="0" borderId="0" xfId="0" applyNumberFormat="1" applyFont="1" applyAlignment="1">
      <alignment horizontal="center"/>
    </xf>
    <xf numFmtId="0" fontId="4" fillId="0" borderId="0" xfId="0" applyFont="1" applyAlignment="1">
      <alignment horizontal="right"/>
    </xf>
    <xf numFmtId="3" fontId="40" fillId="0" borderId="4" xfId="0" applyNumberFormat="1" applyFont="1" applyBorder="1" applyAlignment="1" applyProtection="1">
      <alignment horizontal="center" vertical="center"/>
    </xf>
    <xf numFmtId="3" fontId="40" fillId="0" borderId="68" xfId="0" applyNumberFormat="1" applyFont="1" applyBorder="1" applyAlignment="1" applyProtection="1">
      <alignment horizontal="center" vertical="center"/>
    </xf>
    <xf numFmtId="0" fontId="38" fillId="0" borderId="0" xfId="40" applyFont="1" applyAlignment="1" applyProtection="1">
      <alignment horizontal="right" vertical="center"/>
    </xf>
    <xf numFmtId="3" fontId="34" fillId="32" borderId="7" xfId="49" applyNumberFormat="1" applyFont="1" applyFill="1" applyBorder="1" applyAlignment="1" applyProtection="1">
      <alignment horizontal="right"/>
    </xf>
    <xf numFmtId="3" fontId="34" fillId="32" borderId="77" xfId="49" applyNumberFormat="1" applyFont="1" applyFill="1" applyBorder="1" applyAlignment="1" applyProtection="1">
      <alignment horizontal="right"/>
    </xf>
    <xf numFmtId="0" fontId="34" fillId="0" borderId="29" xfId="0" applyFont="1" applyFill="1" applyBorder="1" applyAlignment="1">
      <alignment horizontal="right"/>
    </xf>
    <xf numFmtId="0" fontId="34" fillId="0" borderId="24" xfId="0" applyFont="1" applyFill="1" applyBorder="1" applyAlignment="1">
      <alignment horizontal="right"/>
    </xf>
    <xf numFmtId="0" fontId="34" fillId="0" borderId="30" xfId="0" applyFont="1" applyFill="1" applyBorder="1" applyAlignment="1">
      <alignment horizontal="right"/>
    </xf>
    <xf numFmtId="2" fontId="34" fillId="2" borderId="51" xfId="0" applyNumberFormat="1" applyFont="1" applyFill="1" applyBorder="1" applyAlignment="1">
      <alignment horizontal="center" vertical="center"/>
    </xf>
    <xf numFmtId="2" fontId="34" fillId="2" borderId="17" xfId="0" applyNumberFormat="1" applyFont="1" applyFill="1" applyBorder="1" applyAlignment="1">
      <alignment horizontal="center" vertical="center"/>
    </xf>
    <xf numFmtId="2" fontId="34" fillId="2" borderId="21" xfId="0" applyNumberFormat="1" applyFont="1" applyFill="1" applyBorder="1" applyAlignment="1">
      <alignment horizontal="center" vertical="center"/>
    </xf>
    <xf numFmtId="3" fontId="4" fillId="0" borderId="72" xfId="0" applyNumberFormat="1" applyFont="1" applyFill="1" applyBorder="1" applyAlignment="1" applyProtection="1">
      <alignment horizontal="center" vertical="center" wrapText="1"/>
    </xf>
    <xf numFmtId="3" fontId="4" fillId="0" borderId="73" xfId="0" applyNumberFormat="1" applyFont="1" applyFill="1" applyBorder="1" applyAlignment="1" applyProtection="1">
      <alignment horizontal="center" vertical="center" wrapText="1"/>
    </xf>
    <xf numFmtId="3" fontId="4" fillId="0" borderId="76" xfId="0" applyNumberFormat="1" applyFont="1" applyFill="1" applyBorder="1" applyAlignment="1" applyProtection="1">
      <alignment horizontal="center" vertical="center" wrapText="1"/>
    </xf>
    <xf numFmtId="3" fontId="4" fillId="0" borderId="79" xfId="0" applyNumberFormat="1" applyFont="1" applyFill="1" applyBorder="1" applyAlignment="1" applyProtection="1">
      <alignment horizontal="center" vertical="center" wrapText="1"/>
    </xf>
    <xf numFmtId="3" fontId="4" fillId="0" borderId="77" xfId="0" applyNumberFormat="1" applyFont="1" applyFill="1" applyBorder="1" applyAlignment="1" applyProtection="1">
      <alignment horizontal="center" vertical="center" wrapText="1"/>
    </xf>
    <xf numFmtId="3" fontId="4" fillId="0" borderId="57" xfId="0" applyNumberFormat="1" applyFont="1" applyFill="1" applyBorder="1" applyAlignment="1" applyProtection="1">
      <alignment horizontal="center" vertical="center" wrapText="1"/>
    </xf>
    <xf numFmtId="3" fontId="4" fillId="0" borderId="32" xfId="1" applyNumberFormat="1" applyFont="1" applyFill="1" applyBorder="1" applyAlignment="1" applyProtection="1">
      <alignment horizontal="center" vertical="center"/>
    </xf>
    <xf numFmtId="3" fontId="4" fillId="0" borderId="7" xfId="1" applyNumberFormat="1" applyFont="1" applyFill="1" applyBorder="1" applyAlignment="1" applyProtection="1">
      <alignment horizontal="center" vertical="center"/>
    </xf>
    <xf numFmtId="3" fontId="4" fillId="0" borderId="53" xfId="1" applyNumberFormat="1" applyFont="1" applyFill="1" applyBorder="1" applyAlignment="1" applyProtection="1">
      <alignment horizontal="center" vertical="center"/>
    </xf>
    <xf numFmtId="3" fontId="4" fillId="0" borderId="72" xfId="1" applyNumberFormat="1" applyFont="1" applyFill="1" applyBorder="1" applyAlignment="1" applyProtection="1">
      <alignment horizontal="center" vertical="center"/>
    </xf>
    <xf numFmtId="3" fontId="4" fillId="0" borderId="73" xfId="1" applyNumberFormat="1" applyFont="1" applyFill="1" applyBorder="1" applyAlignment="1" applyProtection="1">
      <alignment horizontal="center" vertical="center"/>
    </xf>
    <xf numFmtId="3" fontId="4" fillId="0" borderId="76" xfId="1" applyNumberFormat="1" applyFont="1" applyFill="1" applyBorder="1" applyAlignment="1" applyProtection="1">
      <alignment horizontal="center" vertical="center"/>
    </xf>
    <xf numFmtId="3" fontId="4" fillId="0" borderId="32" xfId="0"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center" vertical="center" wrapText="1"/>
    </xf>
    <xf numFmtId="3" fontId="4" fillId="0" borderId="53" xfId="0" applyNumberFormat="1" applyFont="1" applyFill="1" applyBorder="1" applyAlignment="1" applyProtection="1">
      <alignment horizontal="center" vertical="center" wrapText="1"/>
    </xf>
    <xf numFmtId="3" fontId="4" fillId="29" borderId="72" xfId="0" applyNumberFormat="1" applyFont="1" applyFill="1" applyBorder="1" applyAlignment="1" applyProtection="1">
      <alignment horizontal="center" vertical="center" wrapText="1"/>
    </xf>
    <xf numFmtId="3" fontId="4" fillId="29" borderId="73" xfId="0" applyNumberFormat="1" applyFont="1" applyFill="1" applyBorder="1" applyAlignment="1" applyProtection="1">
      <alignment horizontal="center" vertical="center" wrapText="1"/>
    </xf>
    <xf numFmtId="3" fontId="4" fillId="29" borderId="76" xfId="0" applyNumberFormat="1" applyFont="1" applyFill="1" applyBorder="1" applyAlignment="1" applyProtection="1">
      <alignment horizontal="center" vertical="center" wrapText="1"/>
    </xf>
    <xf numFmtId="3" fontId="4" fillId="29" borderId="79" xfId="0" applyNumberFormat="1" applyFont="1" applyFill="1" applyBorder="1" applyAlignment="1" applyProtection="1">
      <alignment horizontal="center" vertical="center" wrapText="1"/>
    </xf>
    <xf numFmtId="3" fontId="4" fillId="29" borderId="77" xfId="0" applyNumberFormat="1" applyFont="1" applyFill="1" applyBorder="1" applyAlignment="1" applyProtection="1">
      <alignment horizontal="center" vertical="center" wrapText="1"/>
    </xf>
    <xf numFmtId="3" fontId="4" fillId="29" borderId="57" xfId="0" applyNumberFormat="1" applyFont="1" applyFill="1" applyBorder="1" applyAlignment="1" applyProtection="1">
      <alignment horizontal="center" vertical="center" wrapText="1"/>
    </xf>
    <xf numFmtId="172" fontId="13" fillId="29" borderId="32" xfId="0" applyNumberFormat="1" applyFont="1" applyFill="1" applyBorder="1" applyAlignment="1" applyProtection="1">
      <alignment horizontal="center" vertical="center" wrapText="1"/>
    </xf>
    <xf numFmtId="172" fontId="13" fillId="29" borderId="7" xfId="0" applyNumberFormat="1" applyFont="1" applyFill="1" applyBorder="1" applyAlignment="1" applyProtection="1">
      <alignment horizontal="center" vertical="center" wrapText="1"/>
    </xf>
    <xf numFmtId="172" fontId="13" fillId="29" borderId="53" xfId="0" applyNumberFormat="1" applyFont="1" applyFill="1" applyBorder="1" applyAlignment="1" applyProtection="1">
      <alignment horizontal="center" vertical="center" wrapText="1"/>
    </xf>
    <xf numFmtId="3" fontId="13" fillId="0" borderId="32" xfId="0" applyNumberFormat="1"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xf>
    <xf numFmtId="3" fontId="13" fillId="0" borderId="53" xfId="0" applyNumberFormat="1" applyFont="1" applyFill="1" applyBorder="1" applyAlignment="1" applyProtection="1">
      <alignment horizontal="center" vertical="center"/>
    </xf>
    <xf numFmtId="3" fontId="13" fillId="0" borderId="72" xfId="0" applyNumberFormat="1" applyFont="1" applyFill="1" applyBorder="1" applyAlignment="1" applyProtection="1">
      <alignment horizontal="center" vertical="center"/>
    </xf>
    <xf numFmtId="3" fontId="13" fillId="0" borderId="73" xfId="0" applyNumberFormat="1" applyFont="1" applyFill="1" applyBorder="1" applyAlignment="1" applyProtection="1">
      <alignment horizontal="center" vertical="center"/>
    </xf>
    <xf numFmtId="3" fontId="13" fillId="0" borderId="76" xfId="0" applyNumberFormat="1" applyFont="1" applyFill="1" applyBorder="1" applyAlignment="1" applyProtection="1">
      <alignment horizontal="center" vertical="center"/>
    </xf>
    <xf numFmtId="171" fontId="34" fillId="30" borderId="7" xfId="0" applyNumberFormat="1" applyFont="1" applyFill="1" applyBorder="1" applyAlignment="1" applyProtection="1">
      <alignment horizontal="center" vertical="center"/>
    </xf>
    <xf numFmtId="171" fontId="34" fillId="30" borderId="7" xfId="0" applyNumberFormat="1" applyFont="1" applyFill="1" applyBorder="1" applyAlignment="1" applyProtection="1">
      <alignment horizontal="center" vertical="center" wrapText="1"/>
    </xf>
    <xf numFmtId="171" fontId="33" fillId="26" borderId="7" xfId="0" applyNumberFormat="1" applyFont="1" applyFill="1" applyBorder="1" applyAlignment="1" applyProtection="1">
      <alignment horizontal="center" vertical="center"/>
    </xf>
    <xf numFmtId="3" fontId="34" fillId="32" borderId="7" xfId="49" applyNumberFormat="1" applyFont="1" applyFill="1" applyBorder="1" applyAlignment="1" applyProtection="1">
      <alignment horizontal="right" vertical="center"/>
    </xf>
    <xf numFmtId="4" fontId="6" fillId="29" borderId="7"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center" vertical="center"/>
    </xf>
    <xf numFmtId="3" fontId="6" fillId="29" borderId="7" xfId="0" applyNumberFormat="1" applyFont="1" applyFill="1" applyBorder="1" applyAlignment="1" applyProtection="1">
      <alignment horizontal="center" vertical="center"/>
    </xf>
    <xf numFmtId="171" fontId="115" fillId="29" borderId="7" xfId="49" applyNumberFormat="1" applyFont="1" applyFill="1" applyBorder="1" applyAlignment="1" applyProtection="1">
      <alignment horizontal="center" vertical="center"/>
    </xf>
    <xf numFmtId="171" fontId="115"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0" fillId="30" borderId="89" xfId="49" applyNumberFormat="1" applyFont="1" applyFill="1" applyBorder="1" applyAlignment="1" applyProtection="1">
      <alignment horizontal="center" vertical="center"/>
    </xf>
    <xf numFmtId="3" fontId="34"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6" fillId="29" borderId="7" xfId="0" applyFont="1" applyFill="1" applyBorder="1" applyAlignment="1" applyProtection="1">
      <alignment horizontal="center" vertical="center"/>
    </xf>
    <xf numFmtId="0" fontId="114"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4" fillId="32" borderId="63" xfId="49" applyNumberFormat="1" applyFont="1" applyFill="1" applyBorder="1" applyAlignment="1" applyProtection="1">
      <alignment horizontal="right" vertical="center"/>
    </xf>
    <xf numFmtId="4" fontId="6" fillId="29" borderId="63"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left" vertical="center" wrapText="1"/>
    </xf>
    <xf numFmtId="0" fontId="6" fillId="29" borderId="63" xfId="0" applyFont="1" applyFill="1" applyBorder="1" applyAlignment="1" applyProtection="1">
      <alignment horizontal="center" vertical="center"/>
    </xf>
    <xf numFmtId="3" fontId="6" fillId="29" borderId="63" xfId="0" applyNumberFormat="1" applyFont="1" applyFill="1" applyBorder="1" applyAlignment="1" applyProtection="1">
      <alignment horizontal="center" vertical="center"/>
    </xf>
    <xf numFmtId="0" fontId="34" fillId="29" borderId="7" xfId="0"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wrapText="1"/>
    </xf>
    <xf numFmtId="3" fontId="34" fillId="30" borderId="63" xfId="0" applyNumberFormat="1" applyFont="1" applyFill="1" applyBorder="1" applyAlignment="1" applyProtection="1">
      <alignment horizontal="center" vertical="center"/>
    </xf>
    <xf numFmtId="171" fontId="34" fillId="30" borderId="63" xfId="0" applyNumberFormat="1" applyFont="1" applyFill="1" applyBorder="1" applyAlignment="1" applyProtection="1">
      <alignment horizontal="center" vertical="center"/>
    </xf>
    <xf numFmtId="3" fontId="33" fillId="26" borderId="9" xfId="0" applyNumberFormat="1" applyFont="1" applyFill="1" applyBorder="1" applyAlignment="1" applyProtection="1">
      <alignment horizontal="center" vertical="center"/>
    </xf>
    <xf numFmtId="4" fontId="33" fillId="26" borderId="9" xfId="0" applyNumberFormat="1" applyFont="1" applyFill="1" applyBorder="1" applyAlignment="1" applyProtection="1">
      <alignment horizontal="center" vertical="center"/>
    </xf>
    <xf numFmtId="4" fontId="33" fillId="26" borderId="10" xfId="0" applyNumberFormat="1" applyFont="1" applyFill="1" applyBorder="1" applyAlignment="1" applyProtection="1">
      <alignment horizontal="center" vertical="center"/>
    </xf>
    <xf numFmtId="171" fontId="34" fillId="30" borderId="31" xfId="0" applyNumberFormat="1" applyFont="1" applyFill="1" applyBorder="1" applyAlignment="1" applyProtection="1">
      <alignment horizontal="center" vertical="center"/>
    </xf>
    <xf numFmtId="3" fontId="33" fillId="26" borderId="17" xfId="32" applyNumberFormat="1" applyFont="1" applyFill="1" applyBorder="1" applyAlignment="1" applyProtection="1">
      <alignment horizontal="center" vertical="center"/>
    </xf>
    <xf numFmtId="3" fontId="34" fillId="29" borderId="17" xfId="32" applyNumberFormat="1" applyFont="1" applyFill="1" applyBorder="1" applyAlignment="1" applyProtection="1">
      <alignment horizontal="center" vertical="center"/>
    </xf>
    <xf numFmtId="3" fontId="34" fillId="29" borderId="23" xfId="32" applyNumberFormat="1" applyFont="1" applyFill="1" applyBorder="1" applyAlignment="1" applyProtection="1">
      <alignment horizontal="center" vertical="center"/>
    </xf>
    <xf numFmtId="3" fontId="34" fillId="29" borderId="24" xfId="32" applyNumberFormat="1" applyFont="1" applyFill="1" applyBorder="1" applyAlignment="1" applyProtection="1">
      <alignment horizontal="center" vertical="center"/>
    </xf>
    <xf numFmtId="3" fontId="33" fillId="34" borderId="17" xfId="32" applyNumberFormat="1" applyFont="1" applyFill="1" applyBorder="1" applyAlignment="1" applyProtection="1">
      <alignment horizontal="center" vertical="center"/>
    </xf>
    <xf numFmtId="175" fontId="33" fillId="26" borderId="17" xfId="32" applyNumberFormat="1" applyFont="1" applyFill="1" applyBorder="1" applyAlignment="1" applyProtection="1">
      <alignment horizontal="center" vertical="center"/>
    </xf>
    <xf numFmtId="175" fontId="33" fillId="0" borderId="0" xfId="32" applyNumberFormat="1" applyFont="1" applyFill="1" applyBorder="1" applyAlignment="1" applyProtection="1">
      <alignment horizontal="center" vertical="center"/>
    </xf>
    <xf numFmtId="3" fontId="80" fillId="0" borderId="89" xfId="32" applyNumberFormat="1" applyFont="1" applyFill="1" applyBorder="1" applyAlignment="1" applyProtection="1">
      <alignment horizontal="center" vertical="center"/>
    </xf>
    <xf numFmtId="3" fontId="33" fillId="34" borderId="38" xfId="32" applyNumberFormat="1" applyFont="1" applyFill="1" applyBorder="1" applyAlignment="1" applyProtection="1">
      <alignment horizontal="center" vertical="center"/>
    </xf>
    <xf numFmtId="3" fontId="33" fillId="34" borderId="9" xfId="32" applyNumberFormat="1" applyFont="1" applyFill="1" applyBorder="1" applyAlignment="1" applyProtection="1">
      <alignment horizontal="center" vertical="center"/>
    </xf>
    <xf numFmtId="3" fontId="33" fillId="34" borderId="10" xfId="32" applyNumberFormat="1" applyFont="1" applyFill="1" applyBorder="1" applyAlignment="1" applyProtection="1">
      <alignment horizontal="center" vertical="center"/>
    </xf>
    <xf numFmtId="3" fontId="13" fillId="34" borderId="38" xfId="32" applyNumberFormat="1" applyFont="1" applyFill="1" applyBorder="1" applyAlignment="1" applyProtection="1">
      <alignment horizontal="center" vertical="center"/>
    </xf>
    <xf numFmtId="3" fontId="13" fillId="34" borderId="9" xfId="32" applyNumberFormat="1" applyFont="1" applyFill="1" applyBorder="1" applyAlignment="1" applyProtection="1">
      <alignment horizontal="center" vertical="center"/>
    </xf>
    <xf numFmtId="3" fontId="13" fillId="34" borderId="10" xfId="32" applyNumberFormat="1" applyFont="1" applyFill="1" applyBorder="1" applyAlignment="1" applyProtection="1">
      <alignment horizontal="center" vertical="center"/>
    </xf>
    <xf numFmtId="3" fontId="34" fillId="32" borderId="38" xfId="49" applyNumberFormat="1" applyFont="1" applyFill="1" applyBorder="1" applyAlignment="1" applyProtection="1">
      <alignment horizontal="right" vertical="center"/>
    </xf>
    <xf numFmtId="3" fontId="34" fillId="32" borderId="9" xfId="49" applyNumberFormat="1" applyFont="1" applyFill="1" applyBorder="1" applyAlignment="1" applyProtection="1">
      <alignment horizontal="right" vertical="center"/>
    </xf>
    <xf numFmtId="3" fontId="34" fillId="32" borderId="10" xfId="49" applyNumberFormat="1" applyFont="1" applyFill="1" applyBorder="1" applyAlignment="1" applyProtection="1">
      <alignment horizontal="right" vertical="center"/>
    </xf>
    <xf numFmtId="3" fontId="60" fillId="29" borderId="9" xfId="32" applyNumberFormat="1" applyFont="1" applyFill="1" applyBorder="1" applyAlignment="1" applyProtection="1">
      <alignment horizontal="center" vertical="center"/>
    </xf>
    <xf numFmtId="3" fontId="33" fillId="34" borderId="65" xfId="32" applyNumberFormat="1" applyFont="1" applyFill="1" applyBorder="1" applyAlignment="1" applyProtection="1">
      <alignment horizontal="center" vertical="center"/>
    </xf>
    <xf numFmtId="3" fontId="33" fillId="34" borderId="80" xfId="32" applyNumberFormat="1" applyFont="1" applyFill="1" applyBorder="1" applyAlignment="1" applyProtection="1">
      <alignment horizontal="center" vertical="center"/>
    </xf>
    <xf numFmtId="3" fontId="33" fillId="34" borderId="58" xfId="32" applyNumberFormat="1" applyFont="1" applyFill="1" applyBorder="1" applyAlignment="1" applyProtection="1">
      <alignment horizontal="center" vertical="center"/>
    </xf>
    <xf numFmtId="3" fontId="33" fillId="34" borderId="46" xfId="32" applyNumberFormat="1" applyFont="1" applyFill="1" applyBorder="1" applyAlignment="1" applyProtection="1">
      <alignment horizontal="center" vertical="center"/>
    </xf>
    <xf numFmtId="0" fontId="4" fillId="0" borderId="21" xfId="0" applyFont="1" applyBorder="1" applyAlignment="1">
      <alignment horizontal="center" vertical="center"/>
    </xf>
    <xf numFmtId="0" fontId="12" fillId="0" borderId="0" xfId="0" applyFont="1" applyFill="1" applyAlignment="1">
      <alignment horizontal="center" vertical="center" wrapText="1"/>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wrapText="1"/>
      <protection locked="0"/>
    </xf>
    <xf numFmtId="4" fontId="34" fillId="3" borderId="7" xfId="0" applyNumberFormat="1" applyFont="1" applyFill="1" applyBorder="1" applyAlignment="1" applyProtection="1">
      <alignment horizontal="center" vertical="center"/>
      <protection locked="0"/>
    </xf>
    <xf numFmtId="0" fontId="61" fillId="21" borderId="17" xfId="52" applyFont="1" applyFill="1" applyBorder="1" applyAlignment="1" applyProtection="1">
      <alignment horizontal="left" vertical="center" wrapText="1"/>
    </xf>
    <xf numFmtId="49" fontId="61" fillId="30" borderId="17" xfId="52" applyNumberFormat="1" applyFont="1" applyFill="1" applyBorder="1" applyAlignment="1" applyProtection="1">
      <alignment horizontal="center" vertical="center" wrapText="1"/>
    </xf>
    <xf numFmtId="0" fontId="33" fillId="34" borderId="38" xfId="32" applyFont="1" applyFill="1" applyBorder="1" applyAlignment="1" applyProtection="1">
      <alignment horizontal="center" vertical="center" wrapText="1"/>
    </xf>
    <xf numFmtId="0" fontId="33" fillId="34" borderId="60" xfId="32" applyFont="1" applyFill="1" applyBorder="1" applyAlignment="1" applyProtection="1">
      <alignment horizontal="center" vertical="center" wrapText="1"/>
    </xf>
    <xf numFmtId="49" fontId="33" fillId="26" borderId="9" xfId="32" applyNumberFormat="1" applyFont="1" applyFill="1" applyBorder="1" applyAlignment="1" applyProtection="1">
      <alignment horizontal="left" vertical="center"/>
    </xf>
    <xf numFmtId="0" fontId="34" fillId="30" borderId="49" xfId="32" applyFont="1" applyFill="1" applyBorder="1" applyAlignment="1" applyProtection="1">
      <alignment horizontal="center"/>
    </xf>
    <xf numFmtId="49" fontId="34" fillId="30" borderId="61" xfId="32" applyNumberFormat="1" applyFont="1" applyFill="1" applyBorder="1" applyAlignment="1" applyProtection="1">
      <alignment horizontal="left" vertical="center" wrapText="1"/>
    </xf>
    <xf numFmtId="0" fontId="34" fillId="30" borderId="52" xfId="32" applyFont="1" applyFill="1" applyBorder="1" applyAlignment="1" applyProtection="1">
      <alignment horizontal="center"/>
    </xf>
    <xf numFmtId="49" fontId="34" fillId="30" borderId="62" xfId="32" applyNumberFormat="1" applyFont="1" applyFill="1" applyBorder="1" applyAlignment="1" applyProtection="1">
      <alignment horizontal="left" vertical="center" wrapText="1"/>
    </xf>
    <xf numFmtId="49" fontId="34" fillId="30" borderId="62" xfId="32" applyNumberFormat="1" applyFont="1" applyFill="1" applyBorder="1" applyAlignment="1" applyProtection="1">
      <alignment horizontal="left" vertical="center"/>
    </xf>
    <xf numFmtId="49" fontId="34" fillId="0" borderId="62" xfId="32" applyNumberFormat="1" applyFont="1" applyFill="1" applyBorder="1" applyAlignment="1" applyProtection="1">
      <alignment horizontal="left" vertical="center" wrapText="1"/>
    </xf>
    <xf numFmtId="0" fontId="34" fillId="34" borderId="38" xfId="32" applyFont="1" applyFill="1" applyBorder="1" applyAlignment="1" applyProtection="1">
      <alignment horizontal="center"/>
    </xf>
    <xf numFmtId="49" fontId="13" fillId="34" borderId="60" xfId="32" applyNumberFormat="1" applyFont="1" applyFill="1" applyBorder="1" applyAlignment="1" applyProtection="1">
      <alignment horizontal="left" vertical="center"/>
    </xf>
    <xf numFmtId="49" fontId="34" fillId="34" borderId="2" xfId="32" applyNumberFormat="1" applyFont="1" applyFill="1" applyBorder="1" applyAlignment="1" applyProtection="1">
      <alignment horizontal="center" vertical="center"/>
    </xf>
    <xf numFmtId="0" fontId="34" fillId="29" borderId="38" xfId="32" applyFont="1" applyFill="1" applyBorder="1" applyAlignment="1" applyProtection="1">
      <alignment horizontal="center"/>
    </xf>
    <xf numFmtId="0" fontId="118" fillId="30" borderId="111" xfId="49" applyFont="1" applyFill="1" applyBorder="1" applyAlignment="1" applyProtection="1">
      <alignment horizontal="center" wrapText="1"/>
    </xf>
    <xf numFmtId="3" fontId="34" fillId="32" borderId="2" xfId="49" applyNumberFormat="1" applyFont="1" applyFill="1" applyBorder="1" applyAlignment="1" applyProtection="1">
      <alignment horizontal="right"/>
    </xf>
    <xf numFmtId="0" fontId="33" fillId="34" borderId="45" xfId="32" applyFont="1" applyFill="1" applyBorder="1" applyAlignment="1" applyProtection="1">
      <alignment horizontal="center" vertical="center" wrapText="1"/>
    </xf>
    <xf numFmtId="0" fontId="33" fillId="34" borderId="59" xfId="32" applyFont="1" applyFill="1" applyBorder="1" applyAlignment="1" applyProtection="1">
      <alignment horizontal="center" vertical="center" wrapText="1"/>
    </xf>
    <xf numFmtId="49" fontId="33" fillId="26" borderId="58" xfId="32" applyNumberFormat="1" applyFont="1" applyFill="1" applyBorder="1" applyAlignment="1" applyProtection="1">
      <alignment horizontal="left" vertical="center"/>
    </xf>
    <xf numFmtId="0" fontId="34" fillId="30" borderId="75" xfId="32" applyFont="1" applyFill="1" applyBorder="1" applyAlignment="1" applyProtection="1">
      <alignment horizontal="center"/>
    </xf>
    <xf numFmtId="49" fontId="34" fillId="30" borderId="74" xfId="32" applyNumberFormat="1" applyFont="1" applyFill="1" applyBorder="1" applyAlignment="1" applyProtection="1">
      <alignment horizontal="left" vertical="center" wrapText="1"/>
    </xf>
    <xf numFmtId="0" fontId="34" fillId="30" borderId="54" xfId="32" applyFont="1" applyFill="1" applyBorder="1" applyAlignment="1" applyProtection="1">
      <alignment horizontal="center"/>
    </xf>
    <xf numFmtId="49" fontId="34" fillId="30" borderId="64" xfId="32" applyNumberFormat="1" applyFont="1" applyFill="1" applyBorder="1" applyAlignment="1" applyProtection="1">
      <alignment horizontal="left" vertical="center" wrapText="1"/>
    </xf>
    <xf numFmtId="0" fontId="13" fillId="30" borderId="1" xfId="32" applyFont="1" applyFill="1" applyBorder="1" applyAlignment="1" applyProtection="1">
      <alignment horizontal="center" wrapText="1"/>
    </xf>
    <xf numFmtId="3" fontId="33" fillId="26" borderId="2" xfId="0" applyNumberFormat="1" applyFont="1" applyFill="1" applyBorder="1" applyAlignment="1" applyProtection="1">
      <alignment horizontal="center" vertical="center"/>
    </xf>
    <xf numFmtId="3" fontId="33" fillId="26" borderId="1" xfId="0" applyNumberFormat="1" applyFont="1" applyFill="1" applyBorder="1" applyAlignment="1" applyProtection="1">
      <alignment horizontal="left" vertical="center" wrapText="1"/>
    </xf>
    <xf numFmtId="3" fontId="33" fillId="43" borderId="7" xfId="0" applyNumberFormat="1" applyFont="1" applyFill="1" applyBorder="1" applyAlignment="1" applyProtection="1">
      <alignment vertical="center"/>
    </xf>
    <xf numFmtId="3" fontId="33" fillId="43" borderId="7" xfId="0" applyNumberFormat="1" applyFont="1" applyFill="1" applyBorder="1" applyAlignment="1" applyProtection="1">
      <alignment vertical="center" wrapText="1"/>
    </xf>
    <xf numFmtId="3" fontId="34" fillId="21" borderId="7" xfId="0" applyNumberFormat="1" applyFont="1" applyFill="1" applyBorder="1" applyAlignment="1" applyProtection="1">
      <alignment horizontal="center" vertical="center"/>
    </xf>
    <xf numFmtId="3" fontId="34" fillId="21" borderId="7" xfId="0" applyNumberFormat="1" applyFont="1" applyFill="1" applyBorder="1" applyAlignment="1" applyProtection="1">
      <alignment horizontal="left" vertical="center" wrapText="1"/>
    </xf>
    <xf numFmtId="49" fontId="13" fillId="40" borderId="35" xfId="0" applyNumberFormat="1" applyFont="1" applyFill="1" applyBorder="1" applyAlignment="1" applyProtection="1">
      <alignment horizontal="center" vertical="center"/>
    </xf>
    <xf numFmtId="49" fontId="13" fillId="40" borderId="41" xfId="0" applyNumberFormat="1" applyFont="1" applyFill="1" applyBorder="1" applyAlignment="1" applyProtection="1">
      <alignment horizontal="center" vertical="center"/>
    </xf>
    <xf numFmtId="0" fontId="13" fillId="40" borderId="35" xfId="0" applyFont="1" applyFill="1" applyBorder="1" applyAlignment="1" applyProtection="1">
      <alignment horizontal="center" vertical="center"/>
    </xf>
    <xf numFmtId="0" fontId="13" fillId="40" borderId="2" xfId="0" applyFont="1" applyFill="1" applyBorder="1" applyAlignment="1" applyProtection="1">
      <alignment horizontal="center" vertical="center" wrapText="1"/>
    </xf>
    <xf numFmtId="0" fontId="13" fillId="40" borderId="3"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wrapText="1"/>
    </xf>
    <xf numFmtId="0" fontId="13" fillId="40" borderId="10" xfId="0" applyFont="1" applyFill="1" applyBorder="1" applyAlignment="1" applyProtection="1">
      <alignment horizontal="center" vertical="center" wrapText="1"/>
    </xf>
    <xf numFmtId="0" fontId="13" fillId="40" borderId="26" xfId="0" applyFont="1" applyFill="1" applyBorder="1" applyAlignment="1" applyProtection="1">
      <alignment horizontal="center" vertical="center" wrapText="1"/>
    </xf>
    <xf numFmtId="0" fontId="13" fillId="40" borderId="13" xfId="0" applyFont="1" applyFill="1" applyBorder="1" applyAlignment="1" applyProtection="1">
      <alignment horizontal="center" vertical="center" wrapText="1"/>
    </xf>
    <xf numFmtId="0" fontId="13" fillId="40" borderId="4" xfId="0" applyFont="1" applyFill="1" applyBorder="1" applyAlignment="1" applyProtection="1">
      <alignment horizontal="center" vertical="center" wrapText="1"/>
    </xf>
    <xf numFmtId="0" fontId="13" fillId="40" borderId="68" xfId="0" applyFont="1" applyFill="1" applyBorder="1" applyAlignment="1" applyProtection="1">
      <alignment horizontal="center" vertical="center" wrapText="1"/>
    </xf>
    <xf numFmtId="0" fontId="13" fillId="40" borderId="67" xfId="0" applyFont="1" applyFill="1" applyBorder="1" applyAlignment="1" applyProtection="1">
      <alignment horizontal="center" vertical="center" wrapText="1"/>
    </xf>
    <xf numFmtId="0" fontId="4" fillId="0" borderId="0" xfId="0" applyFont="1" applyAlignment="1">
      <alignment horizontal="center" vertical="center"/>
    </xf>
    <xf numFmtId="0" fontId="3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1" fillId="0" borderId="0" xfId="0" applyFont="1" applyFill="1" applyAlignment="1">
      <alignment horizontal="center" vertical="center"/>
    </xf>
    <xf numFmtId="3" fontId="4" fillId="3" borderId="51"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13" fillId="0" borderId="51" xfId="0" applyNumberFormat="1" applyFont="1" applyFill="1" applyBorder="1" applyAlignment="1" applyProtection="1">
      <alignment horizontal="center" vertical="center"/>
    </xf>
    <xf numFmtId="3" fontId="13" fillId="0" borderId="17" xfId="0" applyNumberFormat="1" applyFont="1" applyFill="1" applyBorder="1" applyAlignment="1" applyProtection="1">
      <alignment horizontal="center" vertical="center"/>
    </xf>
    <xf numFmtId="3" fontId="4" fillId="3" borderId="51"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wrapText="1"/>
      <protection locked="0"/>
    </xf>
    <xf numFmtId="3" fontId="4" fillId="0" borderId="51" xfId="0" applyNumberFormat="1"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39" xfId="0" applyNumberFormat="1" applyFont="1" applyFill="1" applyBorder="1" applyAlignment="1" applyProtection="1">
      <alignment horizontal="center" vertical="center" wrapText="1"/>
    </xf>
    <xf numFmtId="172" fontId="4" fillId="3" borderId="17" xfId="0" applyNumberFormat="1" applyFont="1" applyFill="1" applyBorder="1" applyAlignment="1" applyProtection="1">
      <alignment horizontal="center" vertical="center" wrapText="1"/>
      <protection locked="0"/>
    </xf>
    <xf numFmtId="172" fontId="13" fillId="29" borderId="17" xfId="0" applyNumberFormat="1" applyFont="1" applyFill="1" applyBorder="1" applyAlignment="1" applyProtection="1">
      <alignment horizontal="center" vertical="center" wrapText="1"/>
    </xf>
    <xf numFmtId="3" fontId="4" fillId="3" borderId="5" xfId="0" applyNumberFormat="1" applyFont="1" applyFill="1" applyBorder="1" applyAlignment="1" applyProtection="1">
      <alignment horizontal="center" vertical="center" wrapText="1"/>
      <protection locked="0"/>
    </xf>
    <xf numFmtId="3" fontId="4" fillId="29" borderId="51" xfId="0" applyNumberFormat="1" applyFont="1" applyFill="1" applyBorder="1" applyAlignment="1" applyProtection="1">
      <alignment horizontal="center" vertical="center" wrapText="1"/>
    </xf>
    <xf numFmtId="3" fontId="4" fillId="29" borderId="21" xfId="0" applyNumberFormat="1" applyFont="1" applyFill="1" applyBorder="1" applyAlignment="1" applyProtection="1">
      <alignment horizontal="center" vertical="center" wrapText="1"/>
    </xf>
    <xf numFmtId="3" fontId="4" fillId="0" borderId="51" xfId="1" applyNumberFormat="1" applyFont="1" applyFill="1" applyBorder="1" applyAlignment="1" applyProtection="1">
      <alignment horizontal="center" vertical="center"/>
    </xf>
    <xf numFmtId="3" fontId="4" fillId="0" borderId="17" xfId="1" applyNumberFormat="1" applyFont="1" applyFill="1" applyBorder="1" applyAlignment="1" applyProtection="1">
      <alignment horizontal="center" vertical="center"/>
    </xf>
    <xf numFmtId="3" fontId="4" fillId="0" borderId="21" xfId="0" applyNumberFormat="1" applyFont="1" applyFill="1" applyBorder="1" applyAlignment="1" applyProtection="1">
      <alignment horizontal="center" vertical="center" wrapText="1"/>
    </xf>
    <xf numFmtId="0" fontId="61" fillId="0" borderId="0" xfId="0" applyFont="1" applyAlignment="1">
      <alignment horizontal="center" vertical="center"/>
    </xf>
    <xf numFmtId="0" fontId="67" fillId="30" borderId="0" xfId="32" applyFont="1" applyFill="1" applyAlignment="1">
      <alignment horizontal="center" vertical="center"/>
    </xf>
    <xf numFmtId="0" fontId="67" fillId="30" borderId="0" xfId="32" applyNumberFormat="1" applyFont="1" applyFill="1" applyAlignment="1">
      <alignment horizontal="center" vertical="center"/>
    </xf>
    <xf numFmtId="49" fontId="67" fillId="30" borderId="0" xfId="32" applyNumberFormat="1" applyFont="1" applyFill="1" applyAlignment="1">
      <alignment horizontal="center" vertical="center"/>
    </xf>
    <xf numFmtId="0" fontId="69" fillId="30" borderId="0" xfId="32" applyNumberFormat="1" applyFont="1" applyFill="1" applyAlignment="1">
      <alignment horizontal="center" vertical="center"/>
    </xf>
    <xf numFmtId="0" fontId="41" fillId="30" borderId="0" xfId="0" applyFont="1" applyFill="1" applyAlignment="1">
      <alignment horizontal="center" vertical="center"/>
    </xf>
    <xf numFmtId="0" fontId="4" fillId="0" borderId="0" xfId="2" applyFont="1" applyBorder="1" applyAlignment="1" applyProtection="1">
      <alignment horizontal="center" vertical="center"/>
    </xf>
    <xf numFmtId="0" fontId="27" fillId="30" borderId="0" xfId="32" applyFont="1" applyFill="1" applyAlignment="1">
      <alignment horizontal="center" vertical="center"/>
    </xf>
    <xf numFmtId="0" fontId="67" fillId="30" borderId="29" xfId="0" applyNumberFormat="1" applyFont="1" applyFill="1" applyBorder="1" applyAlignment="1" applyProtection="1">
      <alignment horizontal="left" vertical="center"/>
    </xf>
    <xf numFmtId="49" fontId="26" fillId="30" borderId="22" xfId="0" applyNumberFormat="1" applyFont="1" applyFill="1" applyBorder="1" applyAlignment="1" applyProtection="1">
      <alignment horizontal="left" vertical="center"/>
    </xf>
    <xf numFmtId="49" fontId="26" fillId="30" borderId="14" xfId="0" applyNumberFormat="1" applyFont="1" applyFill="1" applyBorder="1" applyAlignment="1" applyProtection="1">
      <alignment horizontal="left" vertical="center"/>
    </xf>
    <xf numFmtId="49" fontId="67" fillId="30" borderId="25" xfId="0" applyNumberFormat="1" applyFont="1" applyFill="1" applyBorder="1" applyAlignment="1" applyProtection="1">
      <alignment horizontal="left" vertical="center"/>
    </xf>
    <xf numFmtId="49" fontId="26" fillId="30" borderId="33" xfId="0" applyNumberFormat="1" applyFont="1" applyFill="1" applyBorder="1" applyAlignment="1" applyProtection="1">
      <alignment horizontal="left" vertical="center"/>
    </xf>
    <xf numFmtId="49" fontId="26" fillId="30" borderId="6" xfId="0" applyNumberFormat="1" applyFont="1" applyFill="1" applyBorder="1" applyAlignment="1" applyProtection="1">
      <alignment horizontal="left" vertical="center"/>
    </xf>
    <xf numFmtId="49" fontId="26" fillId="30" borderId="24" xfId="0" applyNumberFormat="1" applyFont="1" applyFill="1" applyBorder="1" applyAlignment="1" applyProtection="1">
      <alignment horizontal="left" vertical="center"/>
    </xf>
    <xf numFmtId="49" fontId="26" fillId="30" borderId="23" xfId="0" applyNumberFormat="1" applyFont="1" applyFill="1" applyBorder="1" applyAlignment="1" applyProtection="1">
      <alignment horizontal="left" vertical="center"/>
    </xf>
    <xf numFmtId="49" fontId="26" fillId="30" borderId="15" xfId="0" applyNumberFormat="1" applyFont="1" applyFill="1" applyBorder="1" applyAlignment="1" applyProtection="1">
      <alignment horizontal="left" vertical="center"/>
    </xf>
    <xf numFmtId="3" fontId="34" fillId="3" borderId="17" xfId="49" applyNumberFormat="1" applyFont="1" applyFill="1" applyBorder="1" applyAlignment="1" applyProtection="1">
      <alignment horizontal="center" vertical="center" wrapText="1"/>
      <protection locked="0"/>
    </xf>
    <xf numFmtId="167" fontId="34" fillId="30" borderId="75" xfId="49" applyNumberFormat="1" applyFont="1" applyFill="1" applyBorder="1" applyAlignment="1" applyProtection="1">
      <alignment horizontal="center" vertical="center" wrapText="1"/>
    </xf>
    <xf numFmtId="167" fontId="34" fillId="30" borderId="73" xfId="49" applyNumberFormat="1" applyFont="1" applyFill="1" applyBorder="1" applyAlignment="1" applyProtection="1">
      <alignment horizontal="center" vertical="center" wrapText="1"/>
    </xf>
    <xf numFmtId="167" fontId="34" fillId="30" borderId="76" xfId="49" applyNumberFormat="1" applyFont="1" applyFill="1" applyBorder="1" applyAlignment="1" applyProtection="1">
      <alignment horizontal="center" vertical="center" wrapText="1"/>
    </xf>
    <xf numFmtId="167" fontId="34" fillId="30" borderId="52" xfId="49" applyNumberFormat="1" applyFont="1" applyFill="1" applyBorder="1" applyAlignment="1" applyProtection="1">
      <alignment horizontal="center" vertical="center" wrapText="1"/>
    </xf>
    <xf numFmtId="167" fontId="34" fillId="30" borderId="7" xfId="49" applyNumberFormat="1" applyFont="1" applyFill="1" applyBorder="1" applyAlignment="1" applyProtection="1">
      <alignment horizontal="center" vertical="center" wrapText="1"/>
    </xf>
    <xf numFmtId="167" fontId="34" fillId="30" borderId="53" xfId="49" applyNumberFormat="1" applyFont="1" applyFill="1" applyBorder="1" applyAlignment="1" applyProtection="1">
      <alignment horizontal="center" vertical="center" wrapText="1"/>
    </xf>
    <xf numFmtId="167" fontId="34" fillId="30" borderId="47" xfId="49" applyNumberFormat="1" applyFont="1" applyFill="1" applyBorder="1" applyAlignment="1" applyProtection="1">
      <alignment horizontal="center" vertical="center" wrapText="1"/>
    </xf>
    <xf numFmtId="167" fontId="34" fillId="30" borderId="71" xfId="49" applyNumberFormat="1" applyFont="1" applyFill="1" applyBorder="1" applyAlignment="1" applyProtection="1">
      <alignment horizontal="center" vertical="center" wrapText="1"/>
    </xf>
    <xf numFmtId="167" fontId="34" fillId="30" borderId="48" xfId="49" applyNumberFormat="1" applyFont="1" applyFill="1" applyBorder="1" applyAlignment="1" applyProtection="1">
      <alignment horizontal="center" vertical="center" wrapText="1"/>
    </xf>
    <xf numFmtId="167" fontId="33" fillId="26" borderId="38" xfId="49" applyNumberFormat="1" applyFont="1" applyFill="1" applyBorder="1" applyAlignment="1" applyProtection="1">
      <alignment horizontal="center" vertical="center" wrapText="1"/>
    </xf>
    <xf numFmtId="167" fontId="33" fillId="39" borderId="65" xfId="49" applyNumberFormat="1" applyFont="1" applyFill="1" applyBorder="1" applyAlignment="1" applyProtection="1">
      <alignment horizontal="center" vertical="center" wrapText="1"/>
    </xf>
    <xf numFmtId="167" fontId="33" fillId="39" borderId="9" xfId="49" applyNumberFormat="1" applyFont="1" applyFill="1" applyBorder="1" applyAlignment="1" applyProtection="1">
      <alignment horizontal="center" vertical="center" wrapText="1"/>
    </xf>
    <xf numFmtId="167" fontId="33" fillId="39" borderId="60"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right" vertical="center" wrapText="1"/>
    </xf>
    <xf numFmtId="167" fontId="33" fillId="26" borderId="1" xfId="49" applyNumberFormat="1" applyFont="1" applyFill="1" applyBorder="1" applyAlignment="1" applyProtection="1">
      <alignment horizontal="center" vertical="center" wrapText="1"/>
    </xf>
    <xf numFmtId="167" fontId="34" fillId="29" borderId="24" xfId="49" applyNumberFormat="1" applyFont="1" applyFill="1" applyBorder="1" applyAlignment="1" applyProtection="1">
      <alignment horizontal="center" vertical="center" wrapText="1"/>
    </xf>
    <xf numFmtId="167" fontId="33" fillId="39" borderId="2"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center" vertical="center" wrapText="1"/>
    </xf>
    <xf numFmtId="167" fontId="34" fillId="29" borderId="51" xfId="49" applyNumberFormat="1" applyFont="1" applyFill="1" applyBorder="1" applyAlignment="1" applyProtection="1">
      <alignment horizontal="center" vertical="center" wrapText="1"/>
    </xf>
    <xf numFmtId="167" fontId="34" fillId="30" borderId="72" xfId="49" applyNumberFormat="1" applyFont="1" applyFill="1" applyBorder="1" applyAlignment="1" applyProtection="1">
      <alignment horizontal="center" vertical="center" wrapText="1"/>
    </xf>
    <xf numFmtId="167" fontId="34" fillId="29" borderId="17" xfId="49" applyNumberFormat="1" applyFont="1" applyFill="1" applyBorder="1" applyAlignment="1" applyProtection="1">
      <alignment horizontal="center" vertical="center" wrapText="1"/>
    </xf>
    <xf numFmtId="167" fontId="34" fillId="30" borderId="32" xfId="49" applyNumberFormat="1" applyFont="1" applyFill="1" applyBorder="1" applyAlignment="1" applyProtection="1">
      <alignment horizontal="center" vertical="center" wrapText="1"/>
    </xf>
    <xf numFmtId="167" fontId="34" fillId="30" borderId="79" xfId="49" applyNumberFormat="1" applyFont="1" applyFill="1" applyBorder="1" applyAlignment="1" applyProtection="1">
      <alignment horizontal="center" vertical="center" wrapText="1"/>
    </xf>
    <xf numFmtId="167" fontId="34" fillId="30" borderId="77" xfId="49" applyNumberFormat="1" applyFont="1" applyFill="1" applyBorder="1" applyAlignment="1" applyProtection="1">
      <alignment horizontal="center" vertical="center" wrapText="1"/>
    </xf>
    <xf numFmtId="167" fontId="34" fillId="30" borderId="57" xfId="49" applyNumberFormat="1" applyFont="1" applyFill="1" applyBorder="1" applyAlignment="1" applyProtection="1">
      <alignment horizontal="center" vertical="center" wrapText="1"/>
    </xf>
    <xf numFmtId="167" fontId="34" fillId="30" borderId="56" xfId="49" applyNumberFormat="1" applyFont="1" applyFill="1" applyBorder="1" applyAlignment="1" applyProtection="1">
      <alignment horizontal="center" vertical="center" wrapText="1"/>
    </xf>
    <xf numFmtId="167" fontId="33" fillId="39" borderId="10" xfId="49" applyNumberFormat="1" applyFont="1" applyFill="1" applyBorder="1" applyAlignment="1" applyProtection="1">
      <alignment horizontal="center" vertical="center" wrapText="1"/>
    </xf>
    <xf numFmtId="3" fontId="33" fillId="26" borderId="38" xfId="49" applyNumberFormat="1" applyFont="1" applyFill="1" applyBorder="1" applyAlignment="1" applyProtection="1">
      <alignment horizontal="center" vertical="center" wrapText="1"/>
    </xf>
    <xf numFmtId="3" fontId="33" fillId="26" borderId="9" xfId="49" applyNumberFormat="1" applyFont="1" applyFill="1" applyBorder="1" applyAlignment="1" applyProtection="1">
      <alignment horizontal="center" vertical="center" wrapText="1"/>
    </xf>
    <xf numFmtId="3" fontId="33" fillId="26" borderId="8" xfId="49" applyNumberFormat="1" applyFont="1" applyFill="1" applyBorder="1" applyAlignment="1" applyProtection="1">
      <alignment horizontal="center" vertical="center" wrapText="1"/>
    </xf>
    <xf numFmtId="3" fontId="33" fillId="26" borderId="10" xfId="49" applyNumberFormat="1" applyFont="1" applyFill="1" applyBorder="1" applyAlignment="1" applyProtection="1">
      <alignment horizontal="center" vertical="center" wrapText="1"/>
    </xf>
    <xf numFmtId="3" fontId="34" fillId="0" borderId="75" xfId="49" applyNumberFormat="1" applyFont="1" applyFill="1" applyBorder="1" applyAlignment="1" applyProtection="1">
      <alignment horizontal="center" vertical="center" wrapText="1"/>
    </xf>
    <xf numFmtId="3" fontId="34" fillId="0" borderId="73" xfId="49" applyNumberFormat="1" applyFont="1" applyFill="1" applyBorder="1" applyAlignment="1" applyProtection="1">
      <alignment horizontal="center" vertical="center" wrapText="1"/>
    </xf>
    <xf numFmtId="3" fontId="34" fillId="0" borderId="76" xfId="49" applyNumberFormat="1" applyFont="1" applyFill="1" applyBorder="1" applyAlignment="1" applyProtection="1">
      <alignment horizontal="center" vertical="center" wrapText="1"/>
    </xf>
    <xf numFmtId="3" fontId="34" fillId="0" borderId="52" xfId="49" applyNumberFormat="1" applyFont="1" applyFill="1" applyBorder="1" applyAlignment="1" applyProtection="1">
      <alignment horizontal="center" vertical="center" wrapText="1"/>
    </xf>
    <xf numFmtId="3" fontId="34" fillId="0" borderId="7" xfId="49" applyNumberFormat="1" applyFont="1" applyFill="1" applyBorder="1" applyAlignment="1" applyProtection="1">
      <alignment horizontal="center" vertical="center" wrapText="1"/>
    </xf>
    <xf numFmtId="3" fontId="34" fillId="0" borderId="53" xfId="49" applyNumberFormat="1" applyFont="1" applyFill="1" applyBorder="1" applyAlignment="1" applyProtection="1">
      <alignment horizontal="center" vertical="center" wrapText="1"/>
    </xf>
    <xf numFmtId="3" fontId="34" fillId="0" borderId="56" xfId="49" applyNumberFormat="1" applyFont="1" applyFill="1" applyBorder="1" applyAlignment="1" applyProtection="1">
      <alignment horizontal="center" vertical="center" wrapText="1"/>
    </xf>
    <xf numFmtId="3" fontId="34" fillId="0" borderId="77" xfId="49" applyNumberFormat="1" applyFont="1" applyFill="1" applyBorder="1" applyAlignment="1" applyProtection="1">
      <alignment horizontal="center" vertical="center" wrapText="1"/>
    </xf>
    <xf numFmtId="3" fontId="34" fillId="0" borderId="57" xfId="49" applyNumberFormat="1" applyFont="1" applyFill="1" applyBorder="1" applyAlignment="1" applyProtection="1">
      <alignment horizontal="center" vertical="center" wrapText="1"/>
    </xf>
    <xf numFmtId="3" fontId="34" fillId="29" borderId="51" xfId="49" applyNumberFormat="1" applyFont="1" applyFill="1" applyBorder="1" applyAlignment="1" applyProtection="1">
      <alignment horizontal="center" vertical="center" wrapText="1"/>
    </xf>
    <xf numFmtId="3" fontId="34" fillId="29" borderId="25" xfId="49" applyNumberFormat="1" applyFont="1" applyFill="1" applyBorder="1" applyAlignment="1" applyProtection="1">
      <alignment horizontal="center" vertical="center" wrapText="1"/>
    </xf>
    <xf numFmtId="0" fontId="33" fillId="35" borderId="2" xfId="49" applyFont="1" applyFill="1" applyBorder="1" applyAlignment="1" applyProtection="1">
      <alignment horizontal="center" vertical="center" wrapText="1"/>
    </xf>
    <xf numFmtId="0" fontId="33" fillId="35" borderId="38" xfId="49" applyFont="1" applyFill="1" applyBorder="1" applyAlignment="1" applyProtection="1">
      <alignment horizontal="left" vertical="center" wrapText="1"/>
    </xf>
    <xf numFmtId="0" fontId="33" fillId="35" borderId="9" xfId="49" applyFont="1" applyFill="1" applyBorder="1" applyAlignment="1" applyProtection="1">
      <alignment horizontal="left" vertical="center" wrapText="1"/>
    </xf>
    <xf numFmtId="0" fontId="33" fillId="35" borderId="10" xfId="49" applyFont="1" applyFill="1" applyBorder="1" applyAlignment="1" applyProtection="1">
      <alignment horizontal="left" vertical="center" wrapText="1"/>
    </xf>
    <xf numFmtId="3" fontId="33" fillId="35" borderId="38" xfId="49" applyNumberFormat="1" applyFont="1" applyFill="1" applyBorder="1" applyAlignment="1" applyProtection="1">
      <alignment horizontal="left" vertical="center" wrapText="1"/>
    </xf>
    <xf numFmtId="3" fontId="33" fillId="35" borderId="9" xfId="49" applyNumberFormat="1" applyFont="1" applyFill="1" applyBorder="1" applyAlignment="1" applyProtection="1">
      <alignment horizontal="left" vertical="center" wrapText="1"/>
    </xf>
    <xf numFmtId="3" fontId="33" fillId="35" borderId="10" xfId="49" applyNumberFormat="1" applyFont="1" applyFill="1" applyBorder="1" applyAlignment="1" applyProtection="1">
      <alignment horizontal="left" vertical="center" wrapText="1"/>
    </xf>
    <xf numFmtId="170" fontId="34" fillId="40" borderId="36" xfId="49" applyNumberFormat="1" applyFont="1" applyFill="1" applyBorder="1" applyAlignment="1" applyProtection="1">
      <alignment horizontal="center" wrapText="1"/>
    </xf>
    <xf numFmtId="170" fontId="34" fillId="40" borderId="18" xfId="49" applyNumberFormat="1" applyFont="1" applyFill="1" applyBorder="1" applyAlignment="1" applyProtection="1">
      <alignment horizontal="center" wrapText="1"/>
    </xf>
    <xf numFmtId="168" fontId="123" fillId="29" borderId="42" xfId="49" applyNumberFormat="1" applyFont="1" applyFill="1" applyBorder="1" applyAlignment="1" applyProtection="1">
      <alignment horizontal="center" vertical="center" wrapText="1"/>
      <protection locked="0"/>
    </xf>
    <xf numFmtId="168" fontId="123" fillId="29" borderId="43" xfId="49" applyNumberFormat="1" applyFont="1" applyFill="1" applyBorder="1" applyAlignment="1" applyProtection="1">
      <alignment horizontal="center" vertical="center" wrapText="1"/>
      <protection locked="0"/>
    </xf>
    <xf numFmtId="168" fontId="35" fillId="0" borderId="24" xfId="49" applyNumberFormat="1" applyFont="1" applyFill="1" applyBorder="1" applyAlignment="1" applyProtection="1">
      <alignment horizontal="center" vertical="center" wrapText="1"/>
    </xf>
    <xf numFmtId="0" fontId="45" fillId="30" borderId="0" xfId="49" applyFont="1" applyFill="1" applyProtection="1"/>
    <xf numFmtId="0" fontId="45" fillId="30" borderId="27" xfId="49" applyFont="1" applyFill="1" applyBorder="1" applyAlignment="1" applyProtection="1">
      <alignment horizontal="center"/>
    </xf>
    <xf numFmtId="0" fontId="45" fillId="30" borderId="0" xfId="49" applyFont="1" applyFill="1" applyBorder="1" applyAlignment="1" applyProtection="1">
      <alignment horizontal="center"/>
    </xf>
    <xf numFmtId="0" fontId="45" fillId="30" borderId="16" xfId="49" applyFont="1" applyFill="1" applyBorder="1" applyAlignment="1" applyProtection="1">
      <alignment horizontal="center"/>
    </xf>
    <xf numFmtId="0" fontId="11" fillId="30" borderId="0" xfId="49" applyFont="1" applyFill="1" applyAlignment="1" applyProtection="1">
      <alignment horizontal="center"/>
    </xf>
    <xf numFmtId="0" fontId="45" fillId="30" borderId="0" xfId="49" applyFont="1" applyFill="1" applyAlignment="1" applyProtection="1">
      <alignment horizontal="center"/>
    </xf>
    <xf numFmtId="170" fontId="33" fillId="40" borderId="56" xfId="49" applyNumberFormat="1" applyFont="1" applyFill="1" applyBorder="1" applyAlignment="1" applyProtection="1">
      <alignment horizontal="center"/>
    </xf>
    <xf numFmtId="170" fontId="33" fillId="40" borderId="77" xfId="49" applyNumberFormat="1" applyFont="1" applyFill="1" applyBorder="1" applyAlignment="1" applyProtection="1">
      <alignment horizontal="center"/>
    </xf>
    <xf numFmtId="170" fontId="33" fillId="40" borderId="57" xfId="49" applyNumberFormat="1" applyFont="1" applyFill="1" applyBorder="1" applyAlignment="1" applyProtection="1">
      <alignment horizontal="center"/>
    </xf>
    <xf numFmtId="170" fontId="33" fillId="40" borderId="79" xfId="49" applyNumberFormat="1" applyFont="1" applyFill="1" applyBorder="1" applyAlignment="1" applyProtection="1">
      <alignment horizontal="center"/>
    </xf>
    <xf numFmtId="0" fontId="34" fillId="29" borderId="29" xfId="49" applyFont="1" applyFill="1" applyBorder="1" applyAlignment="1" applyProtection="1">
      <alignment wrapText="1"/>
    </xf>
    <xf numFmtId="168" fontId="34" fillId="29" borderId="75" xfId="49" applyNumberFormat="1" applyFont="1" applyFill="1" applyBorder="1" applyAlignment="1" applyProtection="1">
      <alignment horizontal="center" vertical="center"/>
    </xf>
    <xf numFmtId="168" fontId="34" fillId="30" borderId="73" xfId="49" applyNumberFormat="1" applyFont="1" applyFill="1" applyBorder="1" applyAlignment="1" applyProtection="1">
      <alignment horizontal="center" vertical="center"/>
    </xf>
    <xf numFmtId="168" fontId="34" fillId="30" borderId="76" xfId="49" applyNumberFormat="1" applyFont="1" applyFill="1" applyBorder="1" applyAlignment="1" applyProtection="1">
      <alignment horizontal="center" vertical="center"/>
    </xf>
    <xf numFmtId="168" fontId="34" fillId="30" borderId="72" xfId="49" applyNumberFormat="1" applyFont="1" applyFill="1" applyBorder="1" applyAlignment="1" applyProtection="1">
      <alignment horizontal="center" vertical="center"/>
    </xf>
    <xf numFmtId="168" fontId="34" fillId="30" borderId="75" xfId="49" applyNumberFormat="1" applyFont="1" applyFill="1" applyBorder="1" applyAlignment="1" applyProtection="1">
      <alignment horizontal="center" vertical="center"/>
    </xf>
    <xf numFmtId="0" fontId="34" fillId="29" borderId="24" xfId="49" applyFont="1" applyFill="1" applyBorder="1" applyProtection="1"/>
    <xf numFmtId="168" fontId="34" fillId="29" borderId="52" xfId="49" applyNumberFormat="1" applyFont="1" applyFill="1" applyBorder="1" applyAlignment="1" applyProtection="1">
      <alignment horizontal="center" vertical="center"/>
    </xf>
    <xf numFmtId="168" fontId="34" fillId="30" borderId="7" xfId="49" applyNumberFormat="1" applyFont="1" applyFill="1" applyBorder="1" applyAlignment="1" applyProtection="1">
      <alignment horizontal="center" vertical="center"/>
    </xf>
    <xf numFmtId="168" fontId="34" fillId="30" borderId="53" xfId="49" applyNumberFormat="1" applyFont="1" applyFill="1" applyBorder="1" applyAlignment="1" applyProtection="1">
      <alignment horizontal="center" vertical="center"/>
    </xf>
    <xf numFmtId="168" fontId="34" fillId="30" borderId="32" xfId="49" applyNumberFormat="1" applyFont="1" applyFill="1" applyBorder="1" applyAlignment="1" applyProtection="1">
      <alignment horizontal="center" vertical="center"/>
    </xf>
    <xf numFmtId="168" fontId="34" fillId="30" borderId="52" xfId="49" applyNumberFormat="1" applyFont="1" applyFill="1" applyBorder="1" applyAlignment="1" applyProtection="1">
      <alignment horizontal="center" vertical="center"/>
    </xf>
    <xf numFmtId="0" fontId="34" fillId="30" borderId="30" xfId="49" applyFont="1" applyFill="1" applyBorder="1" applyProtection="1"/>
    <xf numFmtId="168" fontId="34" fillId="30" borderId="56" xfId="49" applyNumberFormat="1" applyFont="1" applyFill="1" applyBorder="1" applyAlignment="1" applyProtection="1">
      <alignment horizontal="center" vertical="center"/>
    </xf>
    <xf numFmtId="168" fontId="34" fillId="30" borderId="77" xfId="49" applyNumberFormat="1" applyFont="1" applyFill="1" applyBorder="1" applyAlignment="1" applyProtection="1">
      <alignment horizontal="center" vertical="center"/>
    </xf>
    <xf numFmtId="168" fontId="34" fillId="30" borderId="57" xfId="49" applyNumberFormat="1" applyFont="1" applyFill="1" applyBorder="1" applyAlignment="1" applyProtection="1">
      <alignment horizontal="center" vertical="center"/>
    </xf>
    <xf numFmtId="168" fontId="34" fillId="30" borderId="79" xfId="49" applyNumberFormat="1" applyFont="1" applyFill="1" applyBorder="1" applyAlignment="1" applyProtection="1">
      <alignment horizontal="center" vertical="center"/>
    </xf>
    <xf numFmtId="0" fontId="34" fillId="40" borderId="1" xfId="49" applyFont="1" applyFill="1" applyBorder="1" applyProtection="1"/>
    <xf numFmtId="0" fontId="34" fillId="40" borderId="38" xfId="49" applyFont="1" applyFill="1" applyBorder="1" applyAlignment="1" applyProtection="1">
      <alignment horizontal="center" vertical="center"/>
    </xf>
    <xf numFmtId="0" fontId="34" fillId="40" borderId="9" xfId="49" applyFont="1" applyFill="1" applyBorder="1" applyAlignment="1" applyProtection="1">
      <alignment horizontal="center" vertical="center"/>
    </xf>
    <xf numFmtId="0" fontId="34" fillId="40" borderId="10" xfId="49" applyFont="1" applyFill="1" applyBorder="1" applyAlignment="1" applyProtection="1">
      <alignment horizontal="center" vertical="center"/>
    </xf>
    <xf numFmtId="0" fontId="33" fillId="40" borderId="65" xfId="49" applyFont="1" applyFill="1" applyBorder="1" applyAlignment="1" applyProtection="1">
      <alignment horizontal="center" vertical="center"/>
    </xf>
    <xf numFmtId="0" fontId="33" fillId="40" borderId="9" xfId="49" applyFont="1" applyFill="1" applyBorder="1" applyAlignment="1" applyProtection="1">
      <alignment horizontal="center" vertical="center"/>
    </xf>
    <xf numFmtId="0" fontId="33" fillId="40" borderId="10" xfId="49" applyFont="1" applyFill="1" applyBorder="1" applyAlignment="1" applyProtection="1">
      <alignment horizontal="center" vertical="center"/>
    </xf>
    <xf numFmtId="0" fontId="33" fillId="40" borderId="38" xfId="49" applyFont="1" applyFill="1" applyBorder="1" applyAlignment="1" applyProtection="1">
      <alignment horizontal="center" vertical="center"/>
    </xf>
    <xf numFmtId="0" fontId="34" fillId="30" borderId="29" xfId="49" applyFont="1" applyFill="1" applyBorder="1" applyProtection="1"/>
    <xf numFmtId="3" fontId="34" fillId="30" borderId="75" xfId="49" applyNumberFormat="1" applyFont="1" applyFill="1" applyBorder="1" applyAlignment="1" applyProtection="1">
      <alignment horizontal="center" vertical="center"/>
    </xf>
    <xf numFmtId="3" fontId="34" fillId="30" borderId="73" xfId="49" applyNumberFormat="1" applyFont="1" applyFill="1" applyBorder="1" applyAlignment="1" applyProtection="1">
      <alignment horizontal="center" vertical="center"/>
    </xf>
    <xf numFmtId="3" fontId="34" fillId="30" borderId="76" xfId="49" applyNumberFormat="1" applyFont="1" applyFill="1" applyBorder="1" applyAlignment="1" applyProtection="1">
      <alignment horizontal="center" vertical="center"/>
    </xf>
    <xf numFmtId="3" fontId="34" fillId="32" borderId="72" xfId="49" applyNumberFormat="1" applyFont="1" applyFill="1" applyBorder="1" applyAlignment="1" applyProtection="1">
      <alignment horizontal="center" vertical="center"/>
    </xf>
    <xf numFmtId="3" fontId="34" fillId="32" borderId="73" xfId="49" applyNumberFormat="1" applyFont="1" applyFill="1" applyBorder="1" applyAlignment="1" applyProtection="1">
      <alignment horizontal="center" vertical="center"/>
    </xf>
    <xf numFmtId="3" fontId="34" fillId="32" borderId="76" xfId="49" applyNumberFormat="1" applyFont="1" applyFill="1" applyBorder="1" applyAlignment="1" applyProtection="1">
      <alignment horizontal="center" vertical="center"/>
    </xf>
    <xf numFmtId="3" fontId="34" fillId="32" borderId="75" xfId="49" applyNumberFormat="1" applyFont="1" applyFill="1" applyBorder="1" applyAlignment="1" applyProtection="1">
      <alignment horizontal="center" vertical="center"/>
    </xf>
    <xf numFmtId="0" fontId="34" fillId="30" borderId="24" xfId="49" applyFont="1" applyFill="1" applyBorder="1" applyProtection="1"/>
    <xf numFmtId="0" fontId="125" fillId="30" borderId="52" xfId="49" applyFont="1" applyFill="1" applyBorder="1" applyAlignment="1" applyProtection="1">
      <alignment horizontal="center" vertical="center"/>
    </xf>
    <xf numFmtId="0" fontId="125" fillId="30" borderId="7" xfId="49" applyFont="1" applyFill="1" applyBorder="1" applyAlignment="1" applyProtection="1">
      <alignment horizontal="center" vertical="center"/>
    </xf>
    <xf numFmtId="3" fontId="34" fillId="32" borderId="7" xfId="49" applyNumberFormat="1" applyFont="1" applyFill="1" applyBorder="1" applyAlignment="1" applyProtection="1">
      <alignment horizontal="center" vertical="center"/>
    </xf>
    <xf numFmtId="3" fontId="34" fillId="32" borderId="53" xfId="49" applyNumberFormat="1" applyFont="1" applyFill="1" applyBorder="1" applyAlignment="1" applyProtection="1">
      <alignment horizontal="center" vertical="center"/>
    </xf>
    <xf numFmtId="3" fontId="34" fillId="30" borderId="32" xfId="49" applyNumberFormat="1" applyFont="1" applyFill="1" applyBorder="1" applyAlignment="1" applyProtection="1">
      <alignment horizontal="center" vertical="center"/>
    </xf>
    <xf numFmtId="3" fontId="34" fillId="30" borderId="7" xfId="49" applyNumberFormat="1" applyFont="1" applyFill="1" applyBorder="1" applyAlignment="1" applyProtection="1">
      <alignment horizontal="center" vertical="center"/>
    </xf>
    <xf numFmtId="3" fontId="34" fillId="30" borderId="53" xfId="49" applyNumberFormat="1" applyFont="1" applyFill="1" applyBorder="1" applyAlignment="1" applyProtection="1">
      <alignment horizontal="center" vertical="center"/>
    </xf>
    <xf numFmtId="3" fontId="34" fillId="32" borderId="52" xfId="49" applyNumberFormat="1" applyFont="1" applyFill="1" applyBorder="1" applyAlignment="1" applyProtection="1">
      <alignment horizontal="center" vertical="center"/>
    </xf>
    <xf numFmtId="3" fontId="34" fillId="30" borderId="52" xfId="49" applyNumberFormat="1" applyFont="1" applyFill="1" applyBorder="1" applyAlignment="1" applyProtection="1">
      <alignment horizontal="center" vertical="center"/>
    </xf>
    <xf numFmtId="3" fontId="34" fillId="32" borderId="32" xfId="49" applyNumberFormat="1" applyFont="1" applyFill="1" applyBorder="1" applyAlignment="1" applyProtection="1">
      <alignment horizontal="center" vertical="center"/>
    </xf>
    <xf numFmtId="3" fontId="34" fillId="32" borderId="57" xfId="49" applyNumberFormat="1" applyFont="1" applyFill="1" applyBorder="1" applyAlignment="1" applyProtection="1">
      <alignment horizontal="right"/>
    </xf>
    <xf numFmtId="3" fontId="34" fillId="32" borderId="79" xfId="49" applyNumberFormat="1" applyFont="1" applyFill="1" applyBorder="1" applyAlignment="1" applyProtection="1">
      <alignment horizontal="right"/>
    </xf>
    <xf numFmtId="3" fontId="34" fillId="30" borderId="56" xfId="49" applyNumberFormat="1" applyFont="1" applyFill="1" applyBorder="1" applyAlignment="1" applyProtection="1">
      <alignment horizontal="center"/>
    </xf>
    <xf numFmtId="3" fontId="34" fillId="30" borderId="77" xfId="49" applyNumberFormat="1" applyFont="1" applyFill="1" applyBorder="1" applyAlignment="1" applyProtection="1">
      <alignment horizontal="center"/>
    </xf>
    <xf numFmtId="3" fontId="34" fillId="30" borderId="57" xfId="49" applyNumberFormat="1" applyFont="1" applyFill="1" applyBorder="1" applyAlignment="1" applyProtection="1">
      <alignment horizontal="center"/>
    </xf>
    <xf numFmtId="0" fontId="45" fillId="40" borderId="1" xfId="49" applyFont="1" applyFill="1" applyBorder="1" applyProtection="1"/>
    <xf numFmtId="3" fontId="45" fillId="40" borderId="38" xfId="49" applyNumberFormat="1" applyFont="1" applyFill="1" applyBorder="1" applyAlignment="1" applyProtection="1">
      <alignment horizontal="center"/>
    </xf>
    <xf numFmtId="3" fontId="45" fillId="40" borderId="9" xfId="49" applyNumberFormat="1" applyFont="1" applyFill="1" applyBorder="1" applyAlignment="1" applyProtection="1">
      <alignment horizontal="center"/>
    </xf>
    <xf numFmtId="3" fontId="45" fillId="40" borderId="10" xfId="49" applyNumberFormat="1" applyFont="1" applyFill="1" applyBorder="1" applyAlignment="1" applyProtection="1">
      <alignment horizontal="center"/>
    </xf>
    <xf numFmtId="0" fontId="11" fillId="40" borderId="65" xfId="49" applyFont="1" applyFill="1" applyBorder="1" applyAlignment="1" applyProtection="1">
      <alignment horizontal="center"/>
    </xf>
    <xf numFmtId="0" fontId="11" fillId="40" borderId="9" xfId="49" applyFont="1" applyFill="1" applyBorder="1" applyAlignment="1" applyProtection="1">
      <alignment horizontal="center"/>
    </xf>
    <xf numFmtId="0" fontId="11" fillId="40" borderId="10" xfId="49" applyFont="1" applyFill="1" applyBorder="1" applyAlignment="1" applyProtection="1">
      <alignment horizontal="center"/>
    </xf>
    <xf numFmtId="0" fontId="11" fillId="40" borderId="38" xfId="49" applyFont="1" applyFill="1" applyBorder="1" applyAlignment="1" applyProtection="1">
      <alignment horizontal="center"/>
    </xf>
    <xf numFmtId="0" fontId="45" fillId="40" borderId="10" xfId="49" applyFont="1" applyFill="1" applyBorder="1" applyAlignment="1" applyProtection="1">
      <alignment horizontal="center"/>
    </xf>
    <xf numFmtId="0" fontId="34" fillId="30" borderId="29" xfId="49" applyFont="1" applyFill="1" applyBorder="1" applyAlignment="1" applyProtection="1">
      <alignment wrapText="1"/>
    </xf>
    <xf numFmtId="4" fontId="33" fillId="30" borderId="75" xfId="49" applyNumberFormat="1" applyFont="1" applyFill="1" applyBorder="1" applyAlignment="1" applyProtection="1">
      <alignment horizontal="center" vertical="center"/>
    </xf>
    <xf numFmtId="4" fontId="33" fillId="30" borderId="73" xfId="49" applyNumberFormat="1" applyFont="1" applyFill="1" applyBorder="1" applyAlignment="1" applyProtection="1">
      <alignment horizontal="center" vertical="center"/>
    </xf>
    <xf numFmtId="4" fontId="33" fillId="30" borderId="76" xfId="49" applyNumberFormat="1" applyFont="1" applyFill="1" applyBorder="1" applyAlignment="1" applyProtection="1">
      <alignment horizontal="center" vertical="center"/>
    </xf>
    <xf numFmtId="4" fontId="33" fillId="30" borderId="72" xfId="49" applyNumberFormat="1" applyFont="1" applyFill="1" applyBorder="1" applyAlignment="1" applyProtection="1">
      <alignment horizontal="center" vertical="center"/>
    </xf>
    <xf numFmtId="0" fontId="34" fillId="30" borderId="24" xfId="49" applyFont="1" applyFill="1" applyBorder="1" applyAlignment="1" applyProtection="1">
      <alignment wrapText="1"/>
    </xf>
    <xf numFmtId="4" fontId="33" fillId="30" borderId="52" xfId="49" applyNumberFormat="1" applyFont="1" applyFill="1" applyBorder="1" applyAlignment="1" applyProtection="1">
      <alignment horizontal="center" vertical="center"/>
    </xf>
    <xf numFmtId="4" fontId="33" fillId="30" borderId="7" xfId="49" applyNumberFormat="1" applyFont="1" applyFill="1" applyBorder="1" applyAlignment="1" applyProtection="1">
      <alignment horizontal="center" vertical="center"/>
    </xf>
    <xf numFmtId="4" fontId="33" fillId="30" borderId="53" xfId="49" applyNumberFormat="1" applyFont="1" applyFill="1" applyBorder="1" applyAlignment="1" applyProtection="1">
      <alignment horizontal="center" vertical="center"/>
    </xf>
    <xf numFmtId="4" fontId="33" fillId="30" borderId="32" xfId="49" applyNumberFormat="1" applyFont="1" applyFill="1" applyBorder="1" applyAlignment="1" applyProtection="1">
      <alignment horizontal="center" vertical="center"/>
    </xf>
    <xf numFmtId="0" fontId="34" fillId="30" borderId="30" xfId="49" applyFont="1" applyFill="1" applyBorder="1" applyAlignment="1" applyProtection="1">
      <alignment wrapText="1"/>
    </xf>
    <xf numFmtId="4" fontId="33" fillId="30" borderId="56" xfId="49" applyNumberFormat="1" applyFont="1" applyFill="1" applyBorder="1" applyAlignment="1" applyProtection="1">
      <alignment horizontal="center" vertical="center"/>
    </xf>
    <xf numFmtId="4" fontId="33" fillId="30" borderId="77" xfId="49" applyNumberFormat="1" applyFont="1" applyFill="1" applyBorder="1" applyAlignment="1" applyProtection="1">
      <alignment horizontal="center" vertical="center"/>
    </xf>
    <xf numFmtId="4" fontId="33" fillId="30" borderId="57" xfId="49" applyNumberFormat="1" applyFont="1" applyFill="1" applyBorder="1" applyAlignment="1" applyProtection="1">
      <alignment horizontal="center" vertical="center"/>
    </xf>
    <xf numFmtId="4" fontId="33" fillId="30" borderId="79" xfId="49" applyNumberFormat="1" applyFont="1" applyFill="1" applyBorder="1" applyAlignment="1" applyProtection="1">
      <alignment horizontal="center" vertical="center"/>
    </xf>
    <xf numFmtId="168" fontId="34" fillId="0" borderId="32" xfId="49" applyNumberFormat="1" applyFont="1" applyFill="1" applyBorder="1" applyAlignment="1" applyProtection="1">
      <alignment horizontal="center" vertical="center" wrapText="1"/>
    </xf>
    <xf numFmtId="168" fontId="34" fillId="0" borderId="7" xfId="49" applyNumberFormat="1" applyFont="1" applyFill="1" applyBorder="1" applyAlignment="1" applyProtection="1">
      <alignment horizontal="center" vertical="center" wrapText="1"/>
    </xf>
    <xf numFmtId="168" fontId="34" fillId="0" borderId="53" xfId="49" applyNumberFormat="1" applyFont="1" applyFill="1" applyBorder="1" applyAlignment="1" applyProtection="1">
      <alignment horizontal="center" vertical="center" wrapText="1"/>
    </xf>
    <xf numFmtId="0" fontId="61" fillId="40" borderId="2" xfId="52" applyFont="1" applyFill="1" applyBorder="1" applyAlignment="1" applyProtection="1">
      <alignment horizontal="center" vertical="center"/>
    </xf>
    <xf numFmtId="0" fontId="61" fillId="40" borderId="65" xfId="52" applyFont="1" applyFill="1" applyBorder="1" applyAlignment="1" applyProtection="1">
      <alignment horizontal="center" vertical="center"/>
    </xf>
    <xf numFmtId="0" fontId="61" fillId="25" borderId="35" xfId="52" applyFont="1" applyFill="1" applyBorder="1" applyAlignment="1" applyProtection="1">
      <alignment horizontal="left" vertical="center" indent="1"/>
    </xf>
    <xf numFmtId="0" fontId="61" fillId="25" borderId="11" xfId="52" applyFont="1" applyFill="1" applyBorder="1" applyAlignment="1" applyProtection="1">
      <alignment horizontal="center" vertical="center"/>
    </xf>
    <xf numFmtId="0" fontId="52" fillId="34" borderId="51" xfId="52" applyFont="1" applyFill="1" applyBorder="1" applyAlignment="1" applyProtection="1">
      <alignment horizontal="center" vertical="center" wrapText="1"/>
    </xf>
    <xf numFmtId="0" fontId="34" fillId="29" borderId="24" xfId="0" applyFont="1" applyFill="1" applyBorder="1" applyAlignment="1" applyProtection="1">
      <alignment vertical="center" wrapText="1"/>
    </xf>
    <xf numFmtId="0" fontId="52" fillId="21" borderId="17" xfId="52" applyFont="1" applyFill="1" applyBorder="1" applyAlignment="1" applyProtection="1">
      <alignment horizontal="center" vertical="center" wrapText="1"/>
    </xf>
    <xf numFmtId="0" fontId="52" fillId="34" borderId="5" xfId="52" applyFont="1" applyFill="1" applyBorder="1" applyAlignment="1" applyProtection="1">
      <alignment horizontal="center" vertical="center" wrapText="1"/>
    </xf>
    <xf numFmtId="0" fontId="52" fillId="34" borderId="39" xfId="52" applyFont="1" applyFill="1" applyBorder="1" applyAlignment="1" applyProtection="1">
      <alignment horizontal="center" vertical="center" wrapText="1"/>
    </xf>
    <xf numFmtId="0" fontId="52" fillId="21" borderId="51" xfId="52" applyFont="1" applyFill="1" applyBorder="1" applyAlignment="1" applyProtection="1">
      <alignment horizontal="center" vertical="center" wrapText="1"/>
    </xf>
    <xf numFmtId="0" fontId="52" fillId="30" borderId="17" xfId="52" applyFont="1" applyFill="1" applyBorder="1" applyAlignment="1" applyProtection="1">
      <alignment wrapText="1"/>
    </xf>
    <xf numFmtId="0" fontId="90" fillId="30" borderId="17" xfId="52" applyFont="1" applyFill="1" applyBorder="1" applyProtection="1"/>
    <xf numFmtId="0" fontId="52" fillId="21" borderId="21" xfId="52" applyFont="1" applyFill="1" applyBorder="1" applyAlignment="1" applyProtection="1">
      <alignment horizontal="center" vertical="center" wrapText="1"/>
    </xf>
    <xf numFmtId="0" fontId="52" fillId="21" borderId="5" xfId="52" applyFont="1" applyFill="1" applyBorder="1" applyAlignment="1" applyProtection="1">
      <alignment horizontal="center" vertical="center" wrapText="1"/>
    </xf>
    <xf numFmtId="0" fontId="52" fillId="34" borderId="17" xfId="52" applyFont="1" applyFill="1" applyBorder="1" applyAlignment="1" applyProtection="1">
      <alignment horizontal="center" vertical="center" wrapText="1"/>
    </xf>
    <xf numFmtId="0" fontId="52" fillId="34" borderId="21" xfId="52" applyFont="1" applyFill="1" applyBorder="1" applyAlignment="1" applyProtection="1">
      <alignment horizontal="center" vertical="center" wrapText="1"/>
    </xf>
    <xf numFmtId="0" fontId="52" fillId="25" borderId="8" xfId="52" applyFont="1" applyFill="1" applyBorder="1" applyAlignment="1" applyProtection="1">
      <alignment horizontal="center" vertical="center" wrapText="1"/>
    </xf>
    <xf numFmtId="0" fontId="52" fillId="30" borderId="51" xfId="52" applyFont="1" applyFill="1" applyBorder="1" applyAlignment="1" applyProtection="1">
      <alignment horizontal="left" vertical="center" wrapText="1" indent="1"/>
    </xf>
    <xf numFmtId="0" fontId="89" fillId="30" borderId="17" xfId="52" applyFont="1" applyFill="1" applyBorder="1" applyAlignment="1" applyProtection="1">
      <alignment horizontal="left" indent="2"/>
    </xf>
    <xf numFmtId="0" fontId="52" fillId="30" borderId="17" xfId="52" applyFont="1" applyFill="1" applyBorder="1" applyAlignment="1" applyProtection="1">
      <alignment horizontal="left" vertical="center" wrapText="1" indent="1"/>
    </xf>
    <xf numFmtId="0" fontId="52" fillId="30" borderId="17" xfId="52" applyFont="1" applyFill="1" applyBorder="1" applyAlignment="1" applyProtection="1">
      <alignment horizontal="right"/>
    </xf>
    <xf numFmtId="0" fontId="52" fillId="30" borderId="21" xfId="52" applyFont="1" applyFill="1" applyBorder="1" applyAlignment="1" applyProtection="1">
      <alignment horizontal="right"/>
    </xf>
    <xf numFmtId="0" fontId="61" fillId="25" borderId="2" xfId="52" applyFont="1" applyFill="1" applyBorder="1" applyAlignment="1" applyProtection="1">
      <alignment horizontal="left" indent="1"/>
    </xf>
    <xf numFmtId="49" fontId="52" fillId="30" borderId="17" xfId="52" applyNumberFormat="1" applyFont="1" applyFill="1" applyBorder="1" applyProtection="1"/>
    <xf numFmtId="3" fontId="33" fillId="30" borderId="72" xfId="49" applyNumberFormat="1" applyFont="1" applyFill="1" applyBorder="1" applyAlignment="1">
      <alignment horizontal="center" vertical="center" wrapText="1"/>
    </xf>
    <xf numFmtId="3" fontId="33" fillId="0" borderId="72" xfId="49" applyNumberFormat="1" applyFont="1" applyFill="1" applyBorder="1" applyAlignment="1">
      <alignment horizontal="center" vertical="center" wrapText="1"/>
    </xf>
    <xf numFmtId="3" fontId="34" fillId="0" borderId="32" xfId="49" applyNumberFormat="1" applyFont="1" applyFill="1" applyBorder="1" applyAlignment="1">
      <alignment horizontal="center" vertical="center" wrapText="1"/>
    </xf>
    <xf numFmtId="3" fontId="35" fillId="30" borderId="32" xfId="49" applyNumberFormat="1" applyFont="1" applyFill="1" applyBorder="1" applyAlignment="1">
      <alignment horizontal="center" vertical="center" wrapText="1"/>
    </xf>
    <xf numFmtId="0" fontId="33" fillId="0" borderId="5" xfId="49" applyFont="1" applyFill="1" applyBorder="1" applyAlignment="1">
      <alignment horizontal="center" vertical="center" wrapText="1"/>
    </xf>
    <xf numFmtId="4" fontId="33" fillId="21" borderId="17" xfId="0" applyNumberFormat="1" applyFont="1" applyFill="1" applyBorder="1" applyAlignment="1" applyProtection="1">
      <alignment horizontal="center" vertical="center"/>
    </xf>
    <xf numFmtId="4" fontId="34" fillId="0" borderId="17" xfId="0" applyNumberFormat="1" applyFont="1" applyFill="1" applyBorder="1" applyAlignment="1" applyProtection="1">
      <alignment horizontal="center" vertical="center"/>
    </xf>
    <xf numFmtId="4" fontId="34" fillId="21" borderId="17" xfId="0" applyNumberFormat="1" applyFont="1" applyFill="1" applyBorder="1" applyAlignment="1" applyProtection="1">
      <alignment horizontal="center" vertical="center"/>
    </xf>
    <xf numFmtId="10" fontId="34" fillId="0" borderId="39" xfId="1" applyNumberFormat="1" applyFont="1" applyFill="1" applyBorder="1" applyAlignment="1" applyProtection="1">
      <alignment horizontal="center" vertical="center"/>
    </xf>
    <xf numFmtId="4" fontId="34" fillId="21" borderId="39" xfId="0" applyNumberFormat="1" applyFont="1" applyFill="1" applyBorder="1" applyAlignment="1" applyProtection="1">
      <alignment horizontal="center" vertical="center"/>
    </xf>
    <xf numFmtId="4" fontId="33" fillId="22" borderId="2" xfId="0" applyNumberFormat="1" applyFont="1" applyFill="1" applyBorder="1" applyAlignment="1" applyProtection="1">
      <alignment horizontal="center" vertical="center"/>
    </xf>
    <xf numFmtId="10" fontId="33" fillId="34" borderId="1" xfId="1" applyNumberFormat="1" applyFont="1" applyFill="1" applyBorder="1" applyAlignment="1" applyProtection="1">
      <alignment horizontal="center" vertical="center"/>
    </xf>
    <xf numFmtId="10" fontId="33" fillId="34" borderId="2" xfId="1" applyNumberFormat="1" applyFont="1" applyFill="1" applyBorder="1" applyAlignment="1" applyProtection="1">
      <alignment horizontal="center" vertical="center"/>
    </xf>
    <xf numFmtId="10" fontId="33" fillId="34" borderId="65" xfId="1" applyNumberFormat="1" applyFont="1" applyFill="1" applyBorder="1" applyAlignment="1" applyProtection="1">
      <alignment horizontal="center" vertical="center"/>
    </xf>
    <xf numFmtId="10" fontId="33" fillId="34" borderId="9" xfId="1" applyNumberFormat="1" applyFont="1" applyFill="1" applyBorder="1" applyAlignment="1" applyProtection="1">
      <alignment horizontal="center" vertical="center"/>
    </xf>
    <xf numFmtId="10" fontId="33" fillId="34" borderId="10" xfId="1" applyNumberFormat="1" applyFont="1" applyFill="1" applyBorder="1" applyAlignment="1" applyProtection="1">
      <alignment horizontal="center" vertical="center"/>
    </xf>
    <xf numFmtId="49" fontId="34" fillId="29" borderId="51" xfId="32" applyNumberFormat="1" applyFont="1" applyFill="1" applyBorder="1" applyAlignment="1" applyProtection="1">
      <alignment horizontal="center" vertical="center"/>
    </xf>
    <xf numFmtId="49" fontId="34" fillId="29" borderId="17" xfId="32" applyNumberFormat="1" applyFont="1" applyFill="1" applyBorder="1" applyAlignment="1" applyProtection="1">
      <alignment horizontal="center" vertical="center"/>
    </xf>
    <xf numFmtId="49" fontId="34" fillId="29" borderId="39" xfId="32" applyNumberFormat="1" applyFont="1" applyFill="1" applyBorder="1" applyAlignment="1" applyProtection="1">
      <alignment horizontal="center" vertical="center"/>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indent="1"/>
    </xf>
    <xf numFmtId="173" fontId="34" fillId="0" borderId="73" xfId="37" applyNumberFormat="1" applyFont="1" applyFill="1" applyBorder="1" applyProtection="1">
      <alignment horizontal="right" vertical="center" wrapText="1"/>
    </xf>
    <xf numFmtId="173" fontId="34" fillId="0" borderId="73" xfId="28" applyNumberFormat="1" applyFont="1" applyFill="1" applyBorder="1" applyProtection="1">
      <alignment horizontal="right" vertical="center" wrapText="1"/>
    </xf>
    <xf numFmtId="173" fontId="34" fillId="0" borderId="76" xfId="28" applyNumberFormat="1" applyFont="1" applyFill="1" applyBorder="1" applyProtection="1">
      <alignment horizontal="right" vertical="center" wrapText="1"/>
    </xf>
    <xf numFmtId="173" fontId="34" fillId="0" borderId="58" xfId="37" applyNumberFormat="1" applyFont="1" applyFill="1" applyBorder="1" applyProtection="1">
      <alignment horizontal="right" vertical="center" wrapText="1"/>
    </xf>
    <xf numFmtId="3" fontId="34" fillId="0" borderId="73" xfId="37" applyFont="1" applyFill="1" applyBorder="1" applyProtection="1">
      <alignment horizontal="right" vertical="center" wrapText="1"/>
    </xf>
    <xf numFmtId="38" fontId="34" fillId="0" borderId="73" xfId="28" applyFont="1" applyFill="1" applyBorder="1" applyProtection="1">
      <alignment horizontal="right" vertical="center" wrapText="1"/>
    </xf>
    <xf numFmtId="38" fontId="34" fillId="0" borderId="76" xfId="28" applyFont="1" applyFill="1" applyBorder="1" applyProtection="1">
      <alignment horizontal="right" vertical="center" wrapText="1"/>
    </xf>
    <xf numFmtId="0" fontId="20" fillId="30" borderId="0" xfId="32" applyFill="1" applyProtection="1"/>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13" fillId="2" borderId="35" xfId="32" applyFont="1" applyFill="1" applyBorder="1" applyAlignment="1" applyProtection="1">
      <alignment horizontal="center" vertical="center" wrapText="1"/>
    </xf>
    <xf numFmtId="0" fontId="13" fillId="2" borderId="41" xfId="32" applyFont="1" applyFill="1" applyBorder="1" applyAlignment="1" applyProtection="1">
      <alignment horizontal="center" vertical="center" wrapText="1"/>
    </xf>
    <xf numFmtId="0" fontId="70" fillId="30" borderId="63" xfId="32" applyFont="1" applyFill="1" applyBorder="1" applyAlignment="1" applyProtection="1">
      <alignment vertical="center"/>
    </xf>
    <xf numFmtId="0" fontId="4" fillId="30" borderId="69" xfId="32" applyFont="1" applyFill="1" applyBorder="1" applyAlignment="1" applyProtection="1">
      <alignment vertical="center"/>
    </xf>
    <xf numFmtId="0" fontId="4" fillId="30" borderId="63" xfId="32" applyFont="1" applyFill="1" applyBorder="1" applyAlignment="1" applyProtection="1">
      <alignment vertical="center"/>
    </xf>
    <xf numFmtId="0" fontId="13" fillId="30" borderId="63" xfId="32" applyFont="1" applyFill="1" applyBorder="1" applyAlignment="1" applyProtection="1">
      <alignment horizontal="center" vertical="center"/>
    </xf>
    <xf numFmtId="0" fontId="4" fillId="30" borderId="4" xfId="32" applyFont="1" applyFill="1" applyBorder="1" applyAlignment="1" applyProtection="1">
      <alignment vertical="center"/>
    </xf>
    <xf numFmtId="0" fontId="4" fillId="30" borderId="13" xfId="32" applyFont="1" applyFill="1" applyBorder="1" applyAlignment="1" applyProtection="1">
      <alignment vertical="center" wrapText="1"/>
    </xf>
    <xf numFmtId="0" fontId="4" fillId="30" borderId="4" xfId="32" applyFont="1" applyFill="1" applyBorder="1" applyAlignment="1" applyProtection="1">
      <alignment horizontal="center" vertical="center" wrapText="1"/>
    </xf>
    <xf numFmtId="0" fontId="13" fillId="30" borderId="4" xfId="32" applyFont="1" applyFill="1" applyBorder="1" applyProtection="1"/>
    <xf numFmtId="0" fontId="4" fillId="30" borderId="31" xfId="32" applyFont="1" applyFill="1" applyBorder="1" applyAlignment="1" applyProtection="1">
      <alignment vertical="center"/>
    </xf>
    <xf numFmtId="0" fontId="4" fillId="30" borderId="44" xfId="32" applyFont="1" applyFill="1" applyBorder="1" applyAlignment="1" applyProtection="1">
      <alignment vertical="center" wrapText="1"/>
    </xf>
    <xf numFmtId="0" fontId="4" fillId="30" borderId="31" xfId="32" applyFont="1" applyFill="1" applyBorder="1" applyAlignment="1" applyProtection="1">
      <alignment horizontal="center" vertical="center" wrapText="1"/>
    </xf>
    <xf numFmtId="0" fontId="13" fillId="30" borderId="31" xfId="32" applyFont="1" applyFill="1" applyBorder="1" applyAlignment="1" applyProtection="1">
      <alignment vertical="center"/>
    </xf>
    <xf numFmtId="0" fontId="4" fillId="20" borderId="4" xfId="32" applyFont="1" applyFill="1" applyBorder="1" applyProtection="1"/>
    <xf numFmtId="0" fontId="4" fillId="20" borderId="13" xfId="32" applyFont="1" applyFill="1" applyBorder="1" applyProtection="1"/>
    <xf numFmtId="0" fontId="13" fillId="20" borderId="4" xfId="32" applyFont="1" applyFill="1" applyBorder="1" applyProtection="1"/>
    <xf numFmtId="0" fontId="4" fillId="30" borderId="69" xfId="32" applyFont="1" applyFill="1" applyBorder="1" applyAlignment="1" applyProtection="1">
      <alignment vertical="center" wrapText="1"/>
    </xf>
    <xf numFmtId="0" fontId="64" fillId="30" borderId="63" xfId="32" applyFont="1" applyFill="1" applyBorder="1" applyAlignment="1" applyProtection="1">
      <alignment horizontal="center" vertical="center" wrapText="1"/>
    </xf>
    <xf numFmtId="0" fontId="64" fillId="30" borderId="4" xfId="32" applyFont="1" applyFill="1" applyBorder="1" applyAlignment="1" applyProtection="1">
      <alignment vertical="center"/>
    </xf>
    <xf numFmtId="0" fontId="64" fillId="30" borderId="4" xfId="32" applyFont="1" applyFill="1" applyBorder="1" applyAlignment="1" applyProtection="1">
      <alignment horizontal="center" vertical="center" wrapText="1"/>
    </xf>
    <xf numFmtId="0" fontId="13" fillId="30" borderId="4" xfId="32" applyFont="1" applyFill="1" applyBorder="1" applyAlignment="1" applyProtection="1">
      <alignment horizontal="center" vertical="center" wrapText="1"/>
    </xf>
    <xf numFmtId="0" fontId="4" fillId="30" borderId="31" xfId="32" applyFont="1" applyFill="1" applyBorder="1" applyAlignment="1" applyProtection="1">
      <alignment vertical="center" wrapText="1"/>
    </xf>
    <xf numFmtId="0" fontId="13" fillId="30" borderId="4" xfId="32" applyFont="1" applyFill="1" applyBorder="1" applyAlignment="1" applyProtection="1">
      <alignment vertical="center"/>
    </xf>
    <xf numFmtId="0" fontId="4" fillId="30" borderId="13" xfId="32" applyFont="1" applyFill="1" applyBorder="1" applyProtection="1"/>
    <xf numFmtId="0" fontId="4" fillId="30" borderId="44" xfId="32" applyFont="1" applyFill="1" applyBorder="1" applyProtection="1"/>
    <xf numFmtId="0" fontId="70" fillId="30" borderId="4" xfId="32" applyFont="1" applyFill="1" applyBorder="1" applyAlignment="1" applyProtection="1">
      <alignment vertical="center"/>
    </xf>
    <xf numFmtId="0" fontId="4" fillId="30" borderId="13" xfId="32" applyFont="1" applyFill="1" applyBorder="1" applyAlignment="1" applyProtection="1">
      <alignment vertical="center"/>
    </xf>
    <xf numFmtId="0" fontId="64" fillId="30" borderId="4" xfId="32" applyFont="1" applyFill="1" applyBorder="1" applyAlignment="1" applyProtection="1">
      <alignment horizontal="center" vertical="center"/>
    </xf>
    <xf numFmtId="0" fontId="4" fillId="30" borderId="13" xfId="32" applyFont="1" applyFill="1" applyBorder="1" applyAlignment="1" applyProtection="1">
      <alignment horizontal="left" vertical="center" wrapText="1"/>
    </xf>
    <xf numFmtId="0" fontId="64" fillId="30" borderId="63" xfId="32" applyFont="1" applyFill="1" applyBorder="1" applyAlignment="1" applyProtection="1">
      <alignment horizontal="center" vertical="center"/>
    </xf>
    <xf numFmtId="0" fontId="13" fillId="30" borderId="4" xfId="32" applyFont="1" applyFill="1" applyBorder="1" applyAlignment="1" applyProtection="1">
      <alignment horizontal="center" vertical="center"/>
    </xf>
    <xf numFmtId="0" fontId="13" fillId="30" borderId="31" xfId="32" applyFont="1" applyFill="1" applyBorder="1" applyProtection="1"/>
    <xf numFmtId="0" fontId="126" fillId="0" borderId="0" xfId="0" applyFont="1" applyProtection="1"/>
    <xf numFmtId="0" fontId="4" fillId="30" borderId="4" xfId="32" applyFont="1" applyFill="1" applyBorder="1" applyAlignment="1" applyProtection="1">
      <alignment vertical="center" wrapText="1"/>
    </xf>
    <xf numFmtId="0" fontId="4" fillId="30" borderId="4" xfId="32" applyFont="1" applyFill="1" applyBorder="1" applyAlignment="1" applyProtection="1">
      <alignment horizontal="left" vertical="top" wrapText="1"/>
    </xf>
    <xf numFmtId="0" fontId="4" fillId="30" borderId="63" xfId="32" applyFont="1" applyFill="1" applyBorder="1" applyProtection="1"/>
    <xf numFmtId="0" fontId="4" fillId="30" borderId="69" xfId="32" applyFont="1" applyFill="1" applyBorder="1" applyProtection="1"/>
    <xf numFmtId="0" fontId="4" fillId="30" borderId="4" xfId="32" applyFont="1" applyFill="1" applyBorder="1" applyProtection="1"/>
    <xf numFmtId="0" fontId="13" fillId="30" borderId="4" xfId="32" applyFont="1" applyFill="1" applyBorder="1" applyAlignment="1" applyProtection="1">
      <alignment vertical="center" wrapText="1"/>
    </xf>
    <xf numFmtId="0" fontId="13" fillId="30" borderId="31" xfId="32" applyFont="1" applyFill="1" applyBorder="1" applyAlignment="1" applyProtection="1">
      <alignment vertical="center" wrapText="1"/>
    </xf>
    <xf numFmtId="0" fontId="4" fillId="30" borderId="4" xfId="32" applyFont="1" applyFill="1" applyBorder="1" applyAlignment="1" applyProtection="1">
      <alignment horizontal="center" vertical="top" wrapText="1"/>
    </xf>
    <xf numFmtId="0" fontId="4" fillId="30" borderId="31" xfId="32" applyFont="1" applyFill="1" applyBorder="1" applyAlignment="1" applyProtection="1">
      <alignment horizontal="center" vertical="top" wrapText="1"/>
    </xf>
    <xf numFmtId="0" fontId="4" fillId="30" borderId="63" xfId="32" applyFont="1" applyFill="1" applyBorder="1" applyAlignment="1" applyProtection="1">
      <alignment vertical="center" wrapText="1"/>
    </xf>
    <xf numFmtId="0" fontId="4" fillId="29" borderId="63" xfId="32" applyFont="1" applyFill="1" applyBorder="1" applyProtection="1"/>
    <xf numFmtId="0" fontId="4" fillId="29" borderId="69" xfId="32" applyFont="1" applyFill="1" applyBorder="1" applyProtection="1"/>
    <xf numFmtId="0" fontId="13" fillId="29" borderId="63" xfId="32" applyFont="1" applyFill="1" applyBorder="1" applyAlignment="1" applyProtection="1">
      <alignment horizontal="center"/>
    </xf>
    <xf numFmtId="0" fontId="20" fillId="29" borderId="0" xfId="32" applyFill="1" applyProtection="1"/>
    <xf numFmtId="0" fontId="126" fillId="0" borderId="0" xfId="0" applyFont="1" applyBorder="1" applyProtection="1"/>
    <xf numFmtId="0" fontId="4" fillId="29" borderId="4" xfId="32" applyFont="1" applyFill="1" applyBorder="1" applyAlignment="1" applyProtection="1">
      <alignment wrapText="1"/>
    </xf>
    <xf numFmtId="0" fontId="13" fillId="29" borderId="4" xfId="32" applyFont="1" applyFill="1" applyBorder="1" applyProtection="1"/>
    <xf numFmtId="0" fontId="4" fillId="29" borderId="31" xfId="32" applyFont="1" applyFill="1" applyBorder="1" applyProtection="1"/>
    <xf numFmtId="0" fontId="4" fillId="29" borderId="44" xfId="32" applyFont="1" applyFill="1" applyBorder="1" applyProtection="1"/>
    <xf numFmtId="0" fontId="13" fillId="29" borderId="31" xfId="32" applyFont="1" applyFill="1" applyBorder="1" applyProtection="1"/>
    <xf numFmtId="0" fontId="13" fillId="30" borderId="31" xfId="32" quotePrefix="1" applyFont="1" applyFill="1" applyBorder="1" applyAlignment="1" applyProtection="1">
      <alignment vertical="center" wrapText="1"/>
    </xf>
    <xf numFmtId="0" fontId="4" fillId="0" borderId="13" xfId="32" applyFont="1" applyFill="1" applyBorder="1" applyAlignment="1" applyProtection="1">
      <alignment vertical="center" wrapText="1"/>
    </xf>
    <xf numFmtId="0" fontId="4" fillId="29" borderId="4" xfId="32" applyFont="1" applyFill="1" applyBorder="1" applyProtection="1"/>
    <xf numFmtId="0" fontId="4" fillId="29" borderId="13" xfId="32" applyFont="1" applyFill="1" applyBorder="1" applyAlignment="1" applyProtection="1">
      <alignment wrapText="1"/>
    </xf>
    <xf numFmtId="0" fontId="4" fillId="29" borderId="44" xfId="32" applyFont="1" applyFill="1" applyBorder="1" applyAlignment="1" applyProtection="1">
      <alignment wrapText="1"/>
    </xf>
    <xf numFmtId="0" fontId="4" fillId="29" borderId="31" xfId="32" applyFont="1" applyFill="1" applyBorder="1" applyAlignment="1" applyProtection="1">
      <alignment wrapText="1"/>
    </xf>
    <xf numFmtId="0" fontId="64" fillId="30" borderId="4" xfId="32" applyFont="1" applyFill="1" applyBorder="1" applyAlignment="1" applyProtection="1">
      <alignment vertical="center" wrapText="1"/>
    </xf>
    <xf numFmtId="0" fontId="4" fillId="30" borderId="13" xfId="32" applyFont="1" applyFill="1" applyBorder="1" applyAlignment="1" applyProtection="1">
      <alignment wrapText="1"/>
    </xf>
    <xf numFmtId="0" fontId="31" fillId="30" borderId="4" xfId="32" applyFont="1" applyFill="1" applyBorder="1" applyAlignment="1" applyProtection="1">
      <alignment vertical="center" wrapText="1"/>
    </xf>
    <xf numFmtId="0" fontId="4" fillId="30" borderId="44" xfId="32" applyFont="1" applyFill="1" applyBorder="1" applyAlignment="1" applyProtection="1">
      <alignment vertical="center"/>
    </xf>
    <xf numFmtId="0" fontId="13" fillId="30" borderId="31" xfId="32" applyFont="1" applyFill="1" applyBorder="1" applyAlignment="1" applyProtection="1">
      <alignment horizontal="center" vertical="center" wrapText="1"/>
    </xf>
    <xf numFmtId="0" fontId="4" fillId="20" borderId="4" xfId="32" applyFont="1" applyFill="1" applyBorder="1" applyAlignment="1" applyProtection="1">
      <alignment wrapText="1"/>
    </xf>
    <xf numFmtId="0" fontId="4" fillId="30" borderId="4" xfId="32" applyFont="1" applyFill="1" applyBorder="1" applyAlignment="1" applyProtection="1">
      <alignment horizontal="left" vertical="center" wrapText="1"/>
    </xf>
    <xf numFmtId="0" fontId="4" fillId="30" borderId="4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20" borderId="31" xfId="32" applyFont="1" applyFill="1" applyBorder="1" applyProtection="1"/>
    <xf numFmtId="0" fontId="4" fillId="20" borderId="44" xfId="32" applyFont="1" applyFill="1" applyBorder="1" applyProtection="1"/>
    <xf numFmtId="0" fontId="13" fillId="20" borderId="31" xfId="32" applyFont="1" applyFill="1" applyBorder="1" applyProtection="1"/>
    <xf numFmtId="0" fontId="4" fillId="30" borderId="0" xfId="32" applyFont="1" applyFill="1" applyProtection="1"/>
    <xf numFmtId="0" fontId="13" fillId="30" borderId="0" xfId="32" applyFont="1" applyFill="1" applyProtection="1"/>
    <xf numFmtId="0" fontId="65" fillId="30" borderId="0" xfId="32" applyFont="1" applyFill="1" applyProtection="1"/>
    <xf numFmtId="0" fontId="5" fillId="30" borderId="0" xfId="32" applyFont="1" applyFill="1" applyBorder="1" applyAlignment="1">
      <alignment horizontal="right" vertical="center"/>
    </xf>
    <xf numFmtId="1" fontId="74" fillId="45" borderId="89" xfId="0" applyNumberFormat="1" applyFont="1" applyFill="1" applyBorder="1" applyAlignment="1">
      <alignment horizontal="center" wrapText="1"/>
    </xf>
    <xf numFmtId="167" fontId="102" fillId="45" borderId="89" xfId="49" applyNumberFormat="1" applyFont="1" applyFill="1" applyBorder="1" applyAlignment="1">
      <alignment horizontal="center"/>
    </xf>
    <xf numFmtId="49" fontId="34" fillId="0" borderId="24" xfId="49" applyNumberFormat="1" applyFont="1" applyFill="1" applyBorder="1" applyAlignment="1">
      <alignment horizontal="left" wrapText="1"/>
    </xf>
    <xf numFmtId="49" fontId="13" fillId="26" borderId="1" xfId="49" applyNumberFormat="1" applyFont="1" applyFill="1" applyBorder="1" applyAlignment="1">
      <alignment horizontal="center" vertical="center"/>
    </xf>
    <xf numFmtId="49" fontId="13" fillId="26" borderId="1" xfId="49" applyNumberFormat="1" applyFont="1" applyFill="1" applyBorder="1" applyAlignment="1">
      <alignment vertical="center"/>
    </xf>
    <xf numFmtId="167" fontId="20" fillId="30" borderId="0" xfId="49" applyNumberFormat="1" applyFont="1" applyFill="1"/>
    <xf numFmtId="0" fontId="13" fillId="26" borderId="1" xfId="49" applyFont="1" applyFill="1" applyBorder="1" applyAlignment="1">
      <alignment horizontal="center" vertical="center"/>
    </xf>
    <xf numFmtId="0" fontId="13" fillId="26" borderId="1" xfId="49" applyFont="1" applyFill="1" applyBorder="1" applyAlignment="1">
      <alignment horizontal="left" vertical="center"/>
    </xf>
    <xf numFmtId="3" fontId="40" fillId="0" borderId="7" xfId="0" applyNumberFormat="1" applyFont="1" applyFill="1" applyBorder="1" applyAlignment="1" applyProtection="1">
      <alignment horizontal="center" vertical="center"/>
    </xf>
    <xf numFmtId="9" fontId="4" fillId="3" borderId="75" xfId="32" applyNumberFormat="1" applyFont="1" applyFill="1" applyBorder="1" applyAlignment="1" applyProtection="1">
      <alignment horizontal="center" vertical="center"/>
      <protection locked="0"/>
    </xf>
    <xf numFmtId="9" fontId="4" fillId="3" borderId="73" xfId="32" applyNumberFormat="1" applyFont="1" applyFill="1" applyBorder="1" applyAlignment="1" applyProtection="1">
      <alignment horizontal="center" vertical="center"/>
      <protection locked="0"/>
    </xf>
    <xf numFmtId="9" fontId="4" fillId="3" borderId="76" xfId="32" applyNumberFormat="1" applyFont="1" applyFill="1" applyBorder="1" applyAlignment="1" applyProtection="1">
      <alignment horizontal="center" vertical="center"/>
      <protection locked="0"/>
    </xf>
    <xf numFmtId="9" fontId="4" fillId="3" borderId="52" xfId="32" applyNumberFormat="1" applyFont="1" applyFill="1" applyBorder="1" applyAlignment="1" applyProtection="1">
      <alignment horizontal="center" vertical="center"/>
      <protection locked="0"/>
    </xf>
    <xf numFmtId="9" fontId="4" fillId="3" borderId="7" xfId="32" applyNumberFormat="1" applyFont="1" applyFill="1" applyBorder="1" applyAlignment="1" applyProtection="1">
      <alignment horizontal="center" vertical="center"/>
      <protection locked="0"/>
    </xf>
    <xf numFmtId="9" fontId="4" fillId="3" borderId="53" xfId="32" applyNumberFormat="1" applyFont="1" applyFill="1" applyBorder="1" applyAlignment="1" applyProtection="1">
      <alignment horizontal="center" vertical="center"/>
      <protection locked="0"/>
    </xf>
    <xf numFmtId="9" fontId="4" fillId="3" borderId="56" xfId="32" applyNumberFormat="1" applyFont="1" applyFill="1" applyBorder="1" applyAlignment="1" applyProtection="1">
      <alignment horizontal="center" vertical="center"/>
      <protection locked="0"/>
    </xf>
    <xf numFmtId="9" fontId="4" fillId="3" borderId="77" xfId="32" applyNumberFormat="1" applyFont="1" applyFill="1" applyBorder="1" applyAlignment="1" applyProtection="1">
      <alignment horizontal="center" vertical="center"/>
      <protection locked="0"/>
    </xf>
    <xf numFmtId="9" fontId="4" fillId="3" borderId="57" xfId="32"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68" fontId="35" fillId="29" borderId="102" xfId="49" applyNumberFormat="1" applyFont="1" applyFill="1" applyBorder="1" applyAlignment="1" applyProtection="1">
      <alignment horizontal="center" vertical="center" wrapText="1"/>
    </xf>
    <xf numFmtId="3" fontId="13" fillId="30" borderId="46" xfId="49" applyNumberFormat="1" applyFont="1" applyFill="1" applyBorder="1" applyAlignment="1">
      <alignment horizontal="center" vertical="center" wrapText="1"/>
    </xf>
    <xf numFmtId="3" fontId="13" fillId="21" borderId="53" xfId="49" applyNumberFormat="1" applyFont="1" applyFill="1" applyBorder="1" applyAlignment="1">
      <alignment horizontal="center" vertical="center"/>
    </xf>
    <xf numFmtId="168" fontId="35" fillId="29" borderId="121" xfId="49" applyNumberFormat="1" applyFont="1" applyFill="1" applyBorder="1" applyAlignment="1" applyProtection="1">
      <alignment horizontal="center" vertical="center" wrapText="1"/>
    </xf>
    <xf numFmtId="168" fontId="35" fillId="0" borderId="88" xfId="49" applyNumberFormat="1" applyFont="1" applyFill="1" applyBorder="1" applyAlignment="1" applyProtection="1">
      <alignment horizontal="center" vertical="center" wrapText="1"/>
    </xf>
    <xf numFmtId="168" fontId="35" fillId="0" borderId="96" xfId="49" applyNumberFormat="1" applyFont="1" applyFill="1" applyBorder="1" applyAlignment="1" applyProtection="1">
      <alignment horizontal="center" vertical="center" wrapText="1"/>
    </xf>
    <xf numFmtId="168" fontId="35" fillId="0" borderId="97" xfId="49" applyNumberFormat="1" applyFont="1" applyFill="1" applyBorder="1" applyAlignment="1" applyProtection="1">
      <alignment horizontal="center" vertical="center" wrapText="1"/>
    </xf>
    <xf numFmtId="168" fontId="35" fillId="0" borderId="102" xfId="49" applyNumberFormat="1" applyFont="1" applyFill="1" applyBorder="1" applyAlignment="1" applyProtection="1">
      <alignment horizontal="center" vertical="center" wrapText="1"/>
    </xf>
    <xf numFmtId="168" fontId="35" fillId="0" borderId="103" xfId="49" applyNumberFormat="1" applyFont="1" applyFill="1" applyBorder="1" applyAlignment="1" applyProtection="1">
      <alignment horizontal="center" vertical="center" wrapText="1"/>
    </xf>
    <xf numFmtId="168" fontId="35" fillId="0" borderId="104" xfId="49" applyNumberFormat="1" applyFont="1" applyFill="1" applyBorder="1" applyAlignment="1" applyProtection="1">
      <alignment horizontal="center" vertical="center" wrapText="1"/>
    </xf>
    <xf numFmtId="168" fontId="35" fillId="0" borderId="98" xfId="49" applyNumberFormat="1" applyFont="1" applyFill="1" applyBorder="1" applyAlignment="1" applyProtection="1">
      <alignment horizontal="center" vertical="center" wrapText="1"/>
    </xf>
    <xf numFmtId="168" fontId="35" fillId="0" borderId="99" xfId="49" applyNumberFormat="1" applyFont="1" applyFill="1" applyBorder="1" applyAlignment="1" applyProtection="1">
      <alignment horizontal="center" vertical="center" wrapText="1"/>
    </xf>
    <xf numFmtId="168" fontId="35" fillId="0" borderId="100" xfId="49" applyNumberFormat="1" applyFont="1" applyFill="1" applyBorder="1" applyAlignment="1" applyProtection="1">
      <alignment horizontal="center" vertical="center" wrapText="1"/>
    </xf>
    <xf numFmtId="168" fontId="35" fillId="0" borderId="82" xfId="49" applyNumberFormat="1" applyFont="1" applyFill="1" applyBorder="1" applyAlignment="1" applyProtection="1">
      <alignment horizontal="center" vertical="center" wrapText="1"/>
    </xf>
    <xf numFmtId="168" fontId="35" fillId="0" borderId="105" xfId="49" applyNumberFormat="1" applyFont="1" applyFill="1" applyBorder="1" applyAlignment="1" applyProtection="1">
      <alignment horizontal="center" vertical="center" wrapText="1"/>
    </xf>
    <xf numFmtId="168" fontId="35" fillId="0" borderId="101" xfId="49" applyNumberFormat="1" applyFont="1" applyFill="1" applyBorder="1" applyAlignment="1" applyProtection="1">
      <alignment horizontal="center" vertical="center" wrapText="1"/>
    </xf>
    <xf numFmtId="168" fontId="35" fillId="0" borderId="106" xfId="49" applyNumberFormat="1" applyFont="1" applyFill="1" applyBorder="1" applyAlignment="1" applyProtection="1">
      <alignment horizontal="center" vertical="center" wrapText="1"/>
    </xf>
    <xf numFmtId="168" fontId="35" fillId="0" borderId="81" xfId="49" applyNumberFormat="1" applyFont="1" applyFill="1" applyBorder="1" applyAlignment="1" applyProtection="1">
      <alignment horizontal="center" vertical="center" wrapText="1"/>
    </xf>
    <xf numFmtId="10" fontId="4" fillId="3" borderId="7" xfId="32" applyNumberFormat="1" applyFont="1" applyFill="1" applyBorder="1" applyAlignment="1" applyProtection="1">
      <alignment horizontal="center" vertical="center"/>
      <protection locked="0"/>
    </xf>
    <xf numFmtId="3" fontId="4" fillId="29" borderId="9" xfId="32" applyNumberFormat="1" applyFont="1" applyFill="1" applyBorder="1" applyAlignment="1" applyProtection="1">
      <alignment horizontal="center" vertical="center"/>
      <protection locked="0"/>
    </xf>
    <xf numFmtId="0" fontId="34" fillId="46" borderId="0" xfId="0" applyFont="1" applyFill="1" applyAlignment="1">
      <alignment vertical="center" wrapText="1"/>
    </xf>
    <xf numFmtId="0" fontId="36" fillId="30" borderId="0" xfId="0" applyNumberFormat="1" applyFont="1" applyFill="1" applyAlignment="1">
      <alignment horizontal="right"/>
    </xf>
    <xf numFmtId="0" fontId="28" fillId="30" borderId="0" xfId="40" applyFont="1" applyFill="1" applyAlignment="1" applyProtection="1">
      <alignment horizontal="left" vertical="center"/>
    </xf>
    <xf numFmtId="3" fontId="4" fillId="29" borderId="65" xfId="32" applyNumberFormat="1" applyFont="1" applyFill="1" applyBorder="1" applyAlignment="1" applyProtection="1">
      <alignment horizontal="center" vertical="center"/>
      <protection locked="0"/>
    </xf>
    <xf numFmtId="0" fontId="34" fillId="0" borderId="46" xfId="49" applyFont="1" applyFill="1" applyBorder="1" applyAlignment="1" applyProtection="1">
      <alignment horizontal="left" vertical="center" wrapText="1"/>
    </xf>
    <xf numFmtId="0" fontId="34" fillId="0" borderId="10" xfId="49" applyFont="1" applyFill="1" applyBorder="1" applyAlignment="1" applyProtection="1">
      <alignment horizontal="left" vertical="center" wrapText="1"/>
    </xf>
    <xf numFmtId="3" fontId="4" fillId="29" borderId="10" xfId="32" applyNumberFormat="1" applyFont="1" applyFill="1" applyBorder="1" applyAlignment="1" applyProtection="1">
      <alignment horizontal="center" vertical="center"/>
      <protection locked="0"/>
    </xf>
    <xf numFmtId="10" fontId="38" fillId="29" borderId="7" xfId="0" applyNumberFormat="1" applyFont="1" applyFill="1" applyBorder="1" applyAlignment="1" applyProtection="1">
      <alignment horizontal="center" vertical="center"/>
    </xf>
    <xf numFmtId="10" fontId="38" fillId="29" borderId="53" xfId="0" applyNumberFormat="1" applyFont="1" applyFill="1" applyBorder="1" applyAlignment="1" applyProtection="1">
      <alignment horizontal="center" vertical="center"/>
    </xf>
    <xf numFmtId="3" fontId="34" fillId="32" borderId="17" xfId="32" applyNumberFormat="1" applyFont="1" applyFill="1" applyBorder="1" applyAlignment="1" applyProtection="1">
      <alignment horizontal="center" vertical="center"/>
    </xf>
    <xf numFmtId="0" fontId="36" fillId="29" borderId="0" xfId="0" applyFont="1" applyFill="1" applyAlignment="1">
      <alignment vertical="center"/>
    </xf>
    <xf numFmtId="0" fontId="4" fillId="29" borderId="38" xfId="0" applyFont="1" applyFill="1" applyBorder="1" applyAlignment="1">
      <alignment horizontal="center"/>
    </xf>
    <xf numFmtId="0" fontId="34" fillId="29" borderId="60" xfId="49" applyFont="1" applyFill="1" applyBorder="1" applyAlignment="1" applyProtection="1">
      <alignment horizontal="left" vertical="center" wrapText="1"/>
    </xf>
    <xf numFmtId="3" fontId="34" fillId="29" borderId="38" xfId="21" applyNumberFormat="1" applyFont="1" applyFill="1" applyBorder="1">
      <alignment horizontal="center" vertical="center" wrapText="1"/>
    </xf>
    <xf numFmtId="3" fontId="34" fillId="29" borderId="9" xfId="21" applyNumberFormat="1" applyFont="1" applyFill="1" applyBorder="1">
      <alignment horizontal="center" vertical="center" wrapText="1"/>
    </xf>
    <xf numFmtId="3" fontId="34" fillId="29" borderId="60" xfId="21" applyNumberFormat="1" applyFont="1" applyFill="1" applyBorder="1">
      <alignment horizontal="center" vertical="center" wrapText="1"/>
    </xf>
    <xf numFmtId="3" fontId="34" fillId="29" borderId="10" xfId="21" applyNumberFormat="1" applyFont="1" applyFill="1" applyBorder="1">
      <alignment horizontal="center" vertical="center" wrapText="1"/>
    </xf>
    <xf numFmtId="10" fontId="34" fillId="29" borderId="7" xfId="1" applyNumberFormat="1" applyFont="1" applyFill="1" applyBorder="1" applyAlignment="1" applyProtection="1">
      <alignment horizontal="right" vertical="center" wrapText="1"/>
    </xf>
    <xf numFmtId="10" fontId="34" fillId="29" borderId="53" xfId="1" applyNumberFormat="1" applyFont="1" applyFill="1" applyBorder="1" applyAlignment="1" applyProtection="1">
      <alignment horizontal="right" vertical="center" wrapText="1"/>
    </xf>
    <xf numFmtId="168" fontId="35" fillId="29" borderId="106" xfId="49" applyNumberFormat="1" applyFont="1" applyFill="1" applyBorder="1" applyAlignment="1" applyProtection="1">
      <alignment horizontal="center" vertical="center" wrapText="1"/>
    </xf>
    <xf numFmtId="168" fontId="35" fillId="29" borderId="96" xfId="49" applyNumberFormat="1" applyFont="1" applyFill="1" applyBorder="1" applyAlignment="1" applyProtection="1">
      <alignment horizontal="center" vertical="center" wrapText="1"/>
    </xf>
    <xf numFmtId="10" fontId="34" fillId="29" borderId="52" xfId="1" applyNumberFormat="1" applyFont="1" applyFill="1" applyBorder="1" applyAlignment="1" applyProtection="1">
      <alignment horizontal="right" vertical="center" wrapText="1"/>
    </xf>
    <xf numFmtId="0" fontId="36" fillId="29" borderId="0" xfId="31" applyFont="1" applyFill="1" applyBorder="1"/>
    <xf numFmtId="0" fontId="4" fillId="29" borderId="0" xfId="31" applyFont="1" applyFill="1"/>
    <xf numFmtId="0" fontId="36" fillId="29" borderId="0" xfId="31" applyFont="1" applyFill="1" applyBorder="1" applyAlignment="1">
      <alignment vertical="center"/>
    </xf>
    <xf numFmtId="0" fontId="4" fillId="29" borderId="0" xfId="31" applyFont="1" applyFill="1" applyAlignment="1">
      <alignment vertical="center"/>
    </xf>
    <xf numFmtId="0" fontId="36" fillId="30" borderId="0" xfId="32" applyFont="1" applyFill="1" applyAlignment="1">
      <alignment horizontal="left"/>
    </xf>
    <xf numFmtId="0" fontId="4" fillId="30" borderId="0" xfId="49" applyFont="1" applyFill="1" applyAlignment="1">
      <alignment horizontal="left"/>
    </xf>
    <xf numFmtId="0" fontId="79" fillId="30" borderId="0" xfId="49" applyFont="1" applyFill="1" applyAlignment="1">
      <alignment horizontal="left"/>
    </xf>
    <xf numFmtId="0" fontId="102" fillId="30" borderId="0" xfId="49" applyFont="1" applyFill="1" applyAlignment="1">
      <alignment horizontal="left"/>
    </xf>
    <xf numFmtId="0" fontId="36" fillId="29" borderId="0" xfId="49" applyFont="1" applyFill="1" applyAlignment="1">
      <alignment horizontal="left"/>
    </xf>
    <xf numFmtId="168" fontId="35" fillId="29" borderId="124" xfId="49" applyNumberFormat="1" applyFont="1" applyFill="1" applyBorder="1" applyAlignment="1" applyProtection="1">
      <alignment horizontal="center" vertical="center" wrapText="1"/>
    </xf>
    <xf numFmtId="168" fontId="35" fillId="29" borderId="97" xfId="49" applyNumberFormat="1" applyFont="1" applyFill="1" applyBorder="1" applyAlignment="1" applyProtection="1">
      <alignment horizontal="center" vertical="center" wrapText="1"/>
    </xf>
    <xf numFmtId="168" fontId="35" fillId="29" borderId="125" xfId="49" applyNumberFormat="1" applyFont="1" applyFill="1" applyBorder="1" applyAlignment="1" applyProtection="1">
      <alignment horizontal="center" vertical="center" wrapText="1"/>
    </xf>
    <xf numFmtId="168" fontId="35" fillId="29" borderId="101" xfId="49" applyNumberFormat="1" applyFont="1" applyFill="1" applyBorder="1" applyAlignment="1" applyProtection="1">
      <alignment horizontal="center" vertical="center" wrapText="1"/>
    </xf>
    <xf numFmtId="168" fontId="35" fillId="29" borderId="99" xfId="49" applyNumberFormat="1" applyFont="1" applyFill="1" applyBorder="1" applyAlignment="1" applyProtection="1">
      <alignment horizontal="center" vertical="center" wrapText="1"/>
    </xf>
    <xf numFmtId="168" fontId="35" fillId="29" borderId="126" xfId="49" applyNumberFormat="1" applyFont="1" applyFill="1" applyBorder="1" applyAlignment="1" applyProtection="1">
      <alignment horizontal="center" vertical="center" wrapText="1"/>
    </xf>
    <xf numFmtId="168" fontId="35" fillId="29" borderId="100" xfId="49" applyNumberFormat="1" applyFont="1" applyFill="1" applyBorder="1" applyAlignment="1" applyProtection="1">
      <alignment horizontal="center" vertical="center" wrapText="1"/>
    </xf>
    <xf numFmtId="168" fontId="35" fillId="29" borderId="120" xfId="49" applyNumberFormat="1" applyFont="1" applyFill="1" applyBorder="1" applyAlignment="1" applyProtection="1">
      <alignment horizontal="center" vertical="center" wrapText="1"/>
    </xf>
    <xf numFmtId="168" fontId="35" fillId="29" borderId="117" xfId="49" applyNumberFormat="1" applyFont="1" applyFill="1" applyBorder="1" applyAlignment="1" applyProtection="1">
      <alignment horizontal="center" vertical="center" wrapText="1"/>
    </xf>
    <xf numFmtId="168" fontId="35" fillId="29" borderId="112" xfId="49" applyNumberFormat="1" applyFont="1" applyFill="1" applyBorder="1" applyAlignment="1" applyProtection="1">
      <alignment horizontal="center" vertical="center" wrapText="1"/>
    </xf>
    <xf numFmtId="168" fontId="35" fillId="29" borderId="113" xfId="49" applyNumberFormat="1" applyFont="1" applyFill="1" applyBorder="1" applyAlignment="1" applyProtection="1">
      <alignment horizontal="center" vertical="center" wrapText="1"/>
    </xf>
    <xf numFmtId="168" fontId="35" fillId="29" borderId="118" xfId="49" applyNumberFormat="1" applyFont="1" applyFill="1" applyBorder="1" applyAlignment="1" applyProtection="1">
      <alignment horizontal="center" vertical="center" wrapText="1"/>
    </xf>
    <xf numFmtId="168" fontId="35" fillId="29" borderId="114" xfId="49" applyNumberFormat="1" applyFont="1" applyFill="1" applyBorder="1" applyAlignment="1" applyProtection="1">
      <alignment horizontal="center" vertical="center" wrapText="1"/>
    </xf>
    <xf numFmtId="168" fontId="35" fillId="29" borderId="104" xfId="49" applyNumberFormat="1" applyFont="1" applyFill="1" applyBorder="1" applyAlignment="1" applyProtection="1">
      <alignment horizontal="center" vertical="center" wrapText="1"/>
    </xf>
    <xf numFmtId="168" fontId="35" fillId="29" borderId="119" xfId="49" applyNumberFormat="1" applyFont="1" applyFill="1" applyBorder="1" applyAlignment="1" applyProtection="1">
      <alignment horizontal="center" vertical="center" wrapText="1"/>
    </xf>
    <xf numFmtId="168" fontId="35" fillId="29" borderId="115" xfId="49" applyNumberFormat="1" applyFont="1" applyFill="1" applyBorder="1" applyAlignment="1" applyProtection="1">
      <alignment horizontal="center" vertical="center" wrapText="1"/>
    </xf>
    <xf numFmtId="168" fontId="35" fillId="29" borderId="116" xfId="49" applyNumberFormat="1" applyFont="1" applyFill="1" applyBorder="1" applyAlignment="1" applyProtection="1">
      <alignment horizontal="center" vertical="center" wrapText="1"/>
    </xf>
    <xf numFmtId="167" fontId="13" fillId="34" borderId="2" xfId="49" applyNumberFormat="1" applyFont="1" applyFill="1" applyBorder="1" applyAlignment="1" applyProtection="1">
      <alignment horizontal="center" wrapText="1"/>
    </xf>
    <xf numFmtId="167" fontId="13" fillId="34" borderId="65" xfId="49" applyNumberFormat="1" applyFont="1" applyFill="1" applyBorder="1" applyAlignment="1" applyProtection="1">
      <alignment horizontal="center" wrapText="1"/>
    </xf>
    <xf numFmtId="167" fontId="13" fillId="34" borderId="9" xfId="49" applyNumberFormat="1" applyFont="1" applyFill="1" applyBorder="1" applyAlignment="1" applyProtection="1">
      <alignment horizontal="center" wrapText="1"/>
    </xf>
    <xf numFmtId="167" fontId="13" fillId="34" borderId="10" xfId="49" applyNumberFormat="1" applyFont="1" applyFill="1" applyBorder="1" applyAlignment="1" applyProtection="1">
      <alignment horizontal="center" wrapText="1"/>
    </xf>
    <xf numFmtId="0" fontId="34" fillId="29" borderId="62" xfId="49" applyFont="1" applyFill="1" applyBorder="1" applyAlignment="1" applyProtection="1">
      <alignment horizontal="left" vertical="center" wrapText="1"/>
    </xf>
    <xf numFmtId="0" fontId="34" fillId="29" borderId="53" xfId="49" applyFont="1" applyFill="1" applyBorder="1" applyAlignment="1" applyProtection="1">
      <alignment horizontal="left" vertical="center" wrapText="1"/>
    </xf>
    <xf numFmtId="3" fontId="34" fillId="29" borderId="17" xfId="32" applyNumberFormat="1" applyFont="1" applyFill="1" applyBorder="1" applyAlignment="1">
      <alignment horizontal="center"/>
    </xf>
    <xf numFmtId="3" fontId="34" fillId="29" borderId="15" xfId="32" applyNumberFormat="1" applyFont="1" applyFill="1" applyBorder="1" applyAlignment="1">
      <alignment horizontal="center"/>
    </xf>
    <xf numFmtId="3" fontId="34" fillId="29" borderId="32" xfId="32" applyNumberFormat="1" applyFont="1" applyFill="1" applyBorder="1" applyAlignment="1">
      <alignment horizontal="center"/>
    </xf>
    <xf numFmtId="3" fontId="34" fillId="29" borderId="7" xfId="32" applyNumberFormat="1" applyFont="1" applyFill="1" applyBorder="1" applyAlignment="1">
      <alignment horizontal="center"/>
    </xf>
    <xf numFmtId="3" fontId="34" fillId="29" borderId="53" xfId="32" applyNumberFormat="1" applyFont="1" applyFill="1" applyBorder="1" applyAlignment="1">
      <alignment horizontal="center"/>
    </xf>
    <xf numFmtId="3" fontId="40" fillId="0" borderId="53" xfId="0" applyNumberFormat="1" applyFont="1" applyFill="1" applyBorder="1" applyAlignment="1" applyProtection="1">
      <alignment horizontal="center" vertical="center"/>
    </xf>
    <xf numFmtId="3" fontId="38" fillId="0" borderId="7" xfId="0" applyNumberFormat="1" applyFont="1" applyFill="1" applyBorder="1" applyAlignment="1" applyProtection="1">
      <alignment horizontal="center" vertical="center"/>
    </xf>
    <xf numFmtId="3" fontId="38" fillId="0" borderId="53" xfId="0" applyNumberFormat="1" applyFont="1" applyFill="1" applyBorder="1" applyAlignment="1" applyProtection="1">
      <alignment horizontal="center" vertical="center"/>
    </xf>
    <xf numFmtId="0" fontId="106" fillId="0" borderId="24" xfId="47" applyFont="1" applyFill="1" applyBorder="1" applyAlignment="1" applyProtection="1">
      <alignment horizontal="left" vertical="center" wrapText="1"/>
      <protection hidden="1"/>
    </xf>
    <xf numFmtId="3" fontId="80" fillId="0" borderId="15" xfId="32" applyNumberFormat="1" applyFont="1" applyFill="1" applyBorder="1" applyAlignment="1" applyProtection="1">
      <alignment horizontal="center" vertical="center"/>
    </xf>
    <xf numFmtId="3" fontId="80" fillId="0" borderId="23" xfId="32" applyNumberFormat="1" applyFont="1" applyFill="1" applyBorder="1" applyAlignment="1" applyProtection="1">
      <alignment horizontal="center" vertical="center"/>
    </xf>
    <xf numFmtId="3" fontId="80" fillId="0" borderId="7" xfId="32" applyNumberFormat="1" applyFont="1" applyFill="1" applyBorder="1" applyAlignment="1" applyProtection="1">
      <alignment horizontal="center" vertical="center"/>
    </xf>
    <xf numFmtId="0" fontId="106" fillId="0" borderId="24" xfId="32" applyFont="1" applyFill="1" applyBorder="1"/>
    <xf numFmtId="3" fontId="106" fillId="30" borderId="15" xfId="32" applyNumberFormat="1" applyFont="1" applyFill="1" applyBorder="1" applyAlignment="1" applyProtection="1">
      <alignment horizontal="center"/>
    </xf>
    <xf numFmtId="3" fontId="106" fillId="30" borderId="32" xfId="32" applyNumberFormat="1" applyFont="1" applyFill="1" applyBorder="1" applyAlignment="1" applyProtection="1">
      <alignment horizontal="center"/>
    </xf>
    <xf numFmtId="3" fontId="106" fillId="30" borderId="7" xfId="32" applyNumberFormat="1" applyFont="1" applyFill="1" applyBorder="1" applyAlignment="1" applyProtection="1">
      <alignment horizontal="center"/>
    </xf>
    <xf numFmtId="3" fontId="106" fillId="30" borderId="53" xfId="32" applyNumberFormat="1" applyFont="1" applyFill="1" applyBorder="1" applyAlignment="1" applyProtection="1">
      <alignment horizontal="center"/>
    </xf>
    <xf numFmtId="3" fontId="106" fillId="30" borderId="7" xfId="49" applyNumberFormat="1" applyFont="1" applyFill="1" applyBorder="1" applyAlignment="1">
      <alignment horizontal="center" vertical="center" wrapText="1"/>
    </xf>
    <xf numFmtId="3" fontId="106" fillId="30" borderId="53" xfId="49" applyNumberFormat="1" applyFont="1" applyFill="1" applyBorder="1" applyAlignment="1">
      <alignment horizontal="center" vertical="center" wrapText="1"/>
    </xf>
    <xf numFmtId="4" fontId="4" fillId="3" borderId="17" xfId="32" applyNumberFormat="1" applyFont="1" applyFill="1" applyBorder="1" applyAlignment="1" applyProtection="1">
      <alignment horizontal="center" vertical="center"/>
      <protection locked="0"/>
    </xf>
    <xf numFmtId="4" fontId="4" fillId="3" borderId="53" xfId="32" applyNumberFormat="1" applyFont="1" applyFill="1" applyBorder="1" applyAlignment="1" applyProtection="1">
      <alignment horizontal="center" vertical="center"/>
      <protection locked="0"/>
    </xf>
    <xf numFmtId="9" fontId="4" fillId="3" borderId="51" xfId="0" applyNumberFormat="1" applyFont="1" applyFill="1" applyBorder="1" applyAlignment="1" applyProtection="1">
      <alignment horizontal="center" vertical="center" wrapText="1"/>
      <protection locked="0"/>
    </xf>
    <xf numFmtId="9" fontId="4" fillId="3" borderId="17" xfId="0" applyNumberFormat="1" applyFont="1" applyFill="1" applyBorder="1" applyAlignment="1" applyProtection="1">
      <alignment horizontal="center" vertical="center" wrapText="1"/>
      <protection locked="0"/>
    </xf>
    <xf numFmtId="10" fontId="4" fillId="3" borderId="17" xfId="0" applyNumberFormat="1" applyFont="1" applyFill="1" applyBorder="1" applyAlignment="1" applyProtection="1">
      <alignment horizontal="center" vertical="center" wrapText="1"/>
      <protection locked="0"/>
    </xf>
    <xf numFmtId="3" fontId="4" fillId="3" borderId="53" xfId="32" applyNumberFormat="1" applyFont="1" applyFill="1" applyBorder="1" applyAlignment="1" applyProtection="1">
      <alignment horizontal="left" vertical="center"/>
      <protection locked="0"/>
    </xf>
    <xf numFmtId="3" fontId="80" fillId="3" borderId="53" xfId="32" applyNumberFormat="1" applyFont="1" applyFill="1" applyBorder="1" applyAlignment="1" applyProtection="1">
      <alignment horizontal="center" vertical="center"/>
      <protection locked="0"/>
    </xf>
    <xf numFmtId="171" fontId="34" fillId="3" borderId="7" xfId="0" applyNumberFormat="1" applyFont="1" applyFill="1" applyBorder="1" applyAlignment="1" applyProtection="1">
      <alignment horizontal="center" vertical="center"/>
      <protection locked="0"/>
    </xf>
    <xf numFmtId="171" fontId="34" fillId="3" borderId="7" xfId="0" applyNumberFormat="1" applyFont="1" applyFill="1" applyBorder="1" applyAlignment="1" applyProtection="1">
      <alignment horizontal="center" vertical="center" wrapText="1"/>
      <protection locked="0"/>
    </xf>
    <xf numFmtId="171" fontId="80" fillId="30" borderId="89" xfId="49" applyNumberFormat="1" applyFont="1" applyFill="1" applyBorder="1" applyAlignment="1" applyProtection="1">
      <alignment horizontal="center" vertical="center"/>
    </xf>
    <xf numFmtId="4" fontId="34" fillId="3" borderId="7" xfId="0" applyNumberFormat="1" applyFont="1" applyFill="1" applyBorder="1" applyAlignment="1" applyProtection="1">
      <alignment horizontal="center" vertical="center" wrapText="1"/>
      <protection locked="0"/>
    </xf>
    <xf numFmtId="0" fontId="27" fillId="29" borderId="0" xfId="32" applyFont="1" applyFill="1" applyAlignment="1">
      <alignment vertical="center"/>
    </xf>
    <xf numFmtId="0" fontId="37" fillId="30" borderId="0" xfId="32" applyFont="1" applyFill="1" applyAlignment="1">
      <alignment vertical="center"/>
    </xf>
    <xf numFmtId="0" fontId="138" fillId="30" borderId="0" xfId="32" applyFont="1" applyFill="1" applyAlignment="1">
      <alignment vertical="center"/>
    </xf>
    <xf numFmtId="0" fontId="25" fillId="29" borderId="0" xfId="32" applyFont="1" applyFill="1" applyBorder="1" applyAlignment="1">
      <alignment horizontal="right" vertical="center"/>
    </xf>
    <xf numFmtId="0" fontId="37" fillId="30" borderId="0" xfId="0" applyFont="1" applyFill="1" applyAlignment="1">
      <alignment vertical="center"/>
    </xf>
    <xf numFmtId="0" fontId="37" fillId="29" borderId="0" xfId="32" applyFont="1" applyFill="1" applyAlignment="1">
      <alignment vertical="center"/>
    </xf>
    <xf numFmtId="0" fontId="25" fillId="30" borderId="20" xfId="32" applyFont="1" applyFill="1" applyBorder="1" applyAlignment="1" applyProtection="1">
      <alignment vertical="center" wrapText="1"/>
    </xf>
    <xf numFmtId="170" fontId="12" fillId="40" borderId="56" xfId="0" applyNumberFormat="1" applyFont="1" applyFill="1" applyBorder="1" applyAlignment="1" applyProtection="1">
      <alignment horizontal="center" vertical="center" wrapText="1"/>
    </xf>
    <xf numFmtId="170" fontId="12" fillId="40" borderId="77" xfId="0" applyNumberFormat="1" applyFont="1" applyFill="1" applyBorder="1" applyAlignment="1" applyProtection="1">
      <alignment horizontal="center" vertical="center" wrapText="1"/>
    </xf>
    <xf numFmtId="170" fontId="12" fillId="40" borderId="57" xfId="0" applyNumberFormat="1" applyFont="1" applyFill="1" applyBorder="1" applyAlignment="1" applyProtection="1">
      <alignment horizontal="center" vertical="center" wrapText="1"/>
    </xf>
    <xf numFmtId="170" fontId="12" fillId="40" borderId="56" xfId="32" applyNumberFormat="1" applyFont="1" applyFill="1" applyBorder="1" applyAlignment="1" applyProtection="1">
      <alignment horizontal="center" vertical="center" wrapText="1"/>
    </xf>
    <xf numFmtId="170" fontId="12" fillId="40" borderId="77" xfId="32" applyNumberFormat="1" applyFont="1" applyFill="1" applyBorder="1" applyAlignment="1" applyProtection="1">
      <alignment horizontal="center" vertical="center" wrapText="1"/>
    </xf>
    <xf numFmtId="170" fontId="12" fillId="40" borderId="57" xfId="32" applyNumberFormat="1" applyFont="1" applyFill="1" applyBorder="1" applyAlignment="1" applyProtection="1">
      <alignment horizontal="center" vertical="center" wrapText="1"/>
    </xf>
    <xf numFmtId="0" fontId="12" fillId="34" borderId="75" xfId="32" applyFont="1" applyFill="1" applyBorder="1" applyAlignment="1" applyProtection="1">
      <alignment horizontal="center" vertical="center"/>
    </xf>
    <xf numFmtId="0" fontId="12" fillId="34" borderId="76" xfId="32" applyFont="1" applyFill="1" applyBorder="1" applyAlignment="1" applyProtection="1">
      <alignment vertical="center"/>
    </xf>
    <xf numFmtId="170" fontId="12" fillId="34" borderId="75" xfId="0" applyNumberFormat="1" applyFont="1" applyFill="1" applyBorder="1" applyAlignment="1" applyProtection="1">
      <alignment horizontal="center" vertical="center" wrapText="1"/>
    </xf>
    <xf numFmtId="170" fontId="12" fillId="34" borderId="73" xfId="0" applyNumberFormat="1" applyFont="1" applyFill="1" applyBorder="1" applyAlignment="1" applyProtection="1">
      <alignment horizontal="center" vertical="center" wrapText="1"/>
    </xf>
    <xf numFmtId="170" fontId="12" fillId="34" borderId="76" xfId="0" applyNumberFormat="1" applyFont="1" applyFill="1" applyBorder="1" applyAlignment="1" applyProtection="1">
      <alignment horizontal="center" vertical="center" wrapText="1"/>
    </xf>
    <xf numFmtId="170" fontId="12" fillId="34" borderId="75" xfId="32" applyNumberFormat="1" applyFont="1" applyFill="1" applyBorder="1" applyAlignment="1" applyProtection="1">
      <alignment horizontal="center" vertical="center" wrapText="1"/>
    </xf>
    <xf numFmtId="170" fontId="12" fillId="34" borderId="73" xfId="32" applyNumberFormat="1" applyFont="1" applyFill="1" applyBorder="1" applyAlignment="1" applyProtection="1">
      <alignment horizontal="center" vertical="center" wrapText="1"/>
    </xf>
    <xf numFmtId="170" fontId="12" fillId="34" borderId="76" xfId="32" applyNumberFormat="1" applyFont="1" applyFill="1" applyBorder="1" applyAlignment="1" applyProtection="1">
      <alignment horizontal="center" vertical="center" wrapText="1"/>
    </xf>
    <xf numFmtId="0" fontId="37" fillId="29" borderId="0" xfId="0" applyFont="1" applyFill="1" applyAlignment="1">
      <alignment vertical="center"/>
    </xf>
    <xf numFmtId="16" fontId="27" fillId="29" borderId="52" xfId="32" applyNumberFormat="1" applyFont="1" applyFill="1" applyBorder="1" applyAlignment="1" applyProtection="1">
      <alignment horizontal="center" vertical="center"/>
    </xf>
    <xf numFmtId="0" fontId="27" fillId="29" borderId="53" xfId="0" applyFont="1" applyFill="1" applyBorder="1" applyAlignment="1" applyProtection="1">
      <alignment vertical="center"/>
    </xf>
    <xf numFmtId="3" fontId="27" fillId="31" borderId="52" xfId="0" applyNumberFormat="1" applyFont="1" applyFill="1" applyBorder="1" applyAlignment="1" applyProtection="1">
      <alignment horizontal="center" vertical="center"/>
      <protection locked="0"/>
    </xf>
    <xf numFmtId="3" fontId="27" fillId="31" borderId="7" xfId="0" applyNumberFormat="1" applyFont="1" applyFill="1" applyBorder="1" applyAlignment="1" applyProtection="1">
      <alignment horizontal="center" vertical="center"/>
      <protection locked="0"/>
    </xf>
    <xf numFmtId="3" fontId="27" fillId="31" borderId="53" xfId="0" applyNumberFormat="1" applyFont="1" applyFill="1" applyBorder="1" applyAlignment="1" applyProtection="1">
      <alignment horizontal="center" vertical="center"/>
      <protection locked="0"/>
    </xf>
    <xf numFmtId="3" fontId="27" fillId="31" borderId="52" xfId="0" applyNumberFormat="1" applyFont="1" applyFill="1" applyBorder="1" applyAlignment="1" applyProtection="1">
      <alignment horizontal="right" vertical="center"/>
      <protection locked="0"/>
    </xf>
    <xf numFmtId="3" fontId="27" fillId="31" borderId="7" xfId="0" applyNumberFormat="1" applyFont="1" applyFill="1" applyBorder="1" applyAlignment="1" applyProtection="1">
      <alignment horizontal="right" vertical="center"/>
      <protection locked="0"/>
    </xf>
    <xf numFmtId="3" fontId="27" fillId="31" borderId="53" xfId="0" applyNumberFormat="1" applyFont="1" applyFill="1" applyBorder="1" applyAlignment="1" applyProtection="1">
      <alignment horizontal="right" vertical="center"/>
      <protection locked="0"/>
    </xf>
    <xf numFmtId="3" fontId="27" fillId="30" borderId="52" xfId="0" applyNumberFormat="1" applyFont="1" applyFill="1" applyBorder="1" applyAlignment="1">
      <alignment horizontal="center" vertical="center"/>
    </xf>
    <xf numFmtId="3" fontId="27" fillId="30" borderId="7" xfId="0" applyNumberFormat="1" applyFont="1" applyFill="1" applyBorder="1" applyAlignment="1">
      <alignment horizontal="center" vertical="center"/>
    </xf>
    <xf numFmtId="3" fontId="27" fillId="30" borderId="53" xfId="0" applyNumberFormat="1" applyFont="1" applyFill="1" applyBorder="1" applyAlignment="1">
      <alignment horizontal="center" vertical="center"/>
    </xf>
    <xf numFmtId="0" fontId="27" fillId="29" borderId="52" xfId="32" applyFont="1" applyFill="1" applyBorder="1" applyAlignment="1" applyProtection="1">
      <alignment horizontal="center" vertical="center"/>
    </xf>
    <xf numFmtId="0" fontId="27" fillId="29" borderId="53" xfId="32" applyFont="1" applyFill="1" applyBorder="1" applyAlignment="1" applyProtection="1">
      <alignment vertical="center"/>
    </xf>
    <xf numFmtId="49" fontId="12" fillId="30" borderId="56" xfId="0" applyNumberFormat="1" applyFont="1" applyFill="1" applyBorder="1" applyAlignment="1" applyProtection="1">
      <alignment horizontal="center" vertical="center" wrapText="1"/>
    </xf>
    <xf numFmtId="49" fontId="12" fillId="30" borderId="57" xfId="0" applyNumberFormat="1" applyFont="1" applyFill="1" applyBorder="1" applyAlignment="1" applyProtection="1">
      <alignment vertical="center" wrapText="1"/>
    </xf>
    <xf numFmtId="3" fontId="12" fillId="29" borderId="56" xfId="0" applyNumberFormat="1" applyFont="1" applyFill="1" applyBorder="1" applyAlignment="1">
      <alignment horizontal="center" vertical="center"/>
    </xf>
    <xf numFmtId="3" fontId="12" fillId="29" borderId="77" xfId="0" applyNumberFormat="1" applyFont="1" applyFill="1" applyBorder="1" applyAlignment="1">
      <alignment horizontal="center" vertical="center"/>
    </xf>
    <xf numFmtId="3" fontId="12" fillId="29" borderId="57" xfId="0" applyNumberFormat="1" applyFont="1" applyFill="1" applyBorder="1" applyAlignment="1">
      <alignment horizontal="center" vertical="center"/>
    </xf>
    <xf numFmtId="3" fontId="12" fillId="30" borderId="56" xfId="0" applyNumberFormat="1" applyFont="1" applyFill="1" applyBorder="1" applyAlignment="1">
      <alignment horizontal="center" vertical="center"/>
    </xf>
    <xf numFmtId="3" fontId="12" fillId="30" borderId="77" xfId="0" applyNumberFormat="1" applyFont="1" applyFill="1" applyBorder="1" applyAlignment="1">
      <alignment horizontal="center" vertical="center"/>
    </xf>
    <xf numFmtId="3" fontId="12" fillId="30" borderId="57" xfId="0" applyNumberFormat="1" applyFont="1" applyFill="1" applyBorder="1" applyAlignment="1">
      <alignment horizontal="center" vertical="center"/>
    </xf>
    <xf numFmtId="0" fontId="138" fillId="30" borderId="0" xfId="0" applyFont="1" applyFill="1" applyAlignment="1">
      <alignment vertical="center"/>
    </xf>
    <xf numFmtId="49" fontId="12" fillId="30" borderId="75" xfId="0" applyNumberFormat="1" applyFont="1" applyFill="1" applyBorder="1" applyAlignment="1" applyProtection="1">
      <alignment horizontal="center" vertical="center" wrapText="1"/>
    </xf>
    <xf numFmtId="49" fontId="25" fillId="0" borderId="76" xfId="0" applyNumberFormat="1" applyFont="1" applyFill="1" applyBorder="1" applyAlignment="1" applyProtection="1">
      <alignment vertical="center" wrapText="1"/>
    </xf>
    <xf numFmtId="3" fontId="25" fillId="0" borderId="75" xfId="0" applyNumberFormat="1" applyFont="1" applyFill="1" applyBorder="1" applyAlignment="1">
      <alignment horizontal="center" vertical="center"/>
    </xf>
    <xf numFmtId="3" fontId="25" fillId="0" borderId="73" xfId="0" applyNumberFormat="1" applyFont="1" applyFill="1" applyBorder="1" applyAlignment="1">
      <alignment horizontal="center" vertical="center"/>
    </xf>
    <xf numFmtId="3" fontId="25" fillId="0" borderId="76" xfId="0" applyNumberFormat="1" applyFont="1" applyFill="1" applyBorder="1" applyAlignment="1">
      <alignment horizontal="center" vertical="center"/>
    </xf>
    <xf numFmtId="3" fontId="26" fillId="31" borderId="52" xfId="0" applyNumberFormat="1" applyFont="1" applyFill="1" applyBorder="1" applyAlignment="1" applyProtection="1">
      <alignment horizontal="center" vertical="center"/>
      <protection locked="0"/>
    </xf>
    <xf numFmtId="3" fontId="26" fillId="31" borderId="7" xfId="0" applyNumberFormat="1" applyFont="1" applyFill="1" applyBorder="1" applyAlignment="1" applyProtection="1">
      <alignment horizontal="center" vertical="center"/>
      <protection locked="0"/>
    </xf>
    <xf numFmtId="3" fontId="26" fillId="31" borderId="53" xfId="0" applyNumberFormat="1" applyFont="1" applyFill="1" applyBorder="1" applyAlignment="1" applyProtection="1">
      <alignment horizontal="center" vertical="center"/>
      <protection locked="0"/>
    </xf>
    <xf numFmtId="3" fontId="25" fillId="30" borderId="75" xfId="0" applyNumberFormat="1" applyFont="1" applyFill="1" applyBorder="1" applyAlignment="1">
      <alignment horizontal="center" vertical="center"/>
    </xf>
    <xf numFmtId="3" fontId="25" fillId="30" borderId="73" xfId="0" applyNumberFormat="1" applyFont="1" applyFill="1" applyBorder="1" applyAlignment="1">
      <alignment horizontal="center" vertical="center"/>
    </xf>
    <xf numFmtId="3" fontId="25" fillId="30" borderId="76" xfId="0" applyNumberFormat="1" applyFont="1" applyFill="1" applyBorder="1" applyAlignment="1">
      <alignment horizontal="center" vertical="center"/>
    </xf>
    <xf numFmtId="49" fontId="12" fillId="30" borderId="52" xfId="0" applyNumberFormat="1" applyFont="1" applyFill="1" applyBorder="1" applyAlignment="1" applyProtection="1">
      <alignment horizontal="center" vertical="center" wrapText="1"/>
    </xf>
    <xf numFmtId="49" fontId="25" fillId="30" borderId="53" xfId="0" applyNumberFormat="1" applyFont="1" applyFill="1" applyBorder="1" applyAlignment="1" applyProtection="1">
      <alignment vertical="center" wrapText="1"/>
    </xf>
    <xf numFmtId="3" fontId="25" fillId="0" borderId="52" xfId="0" applyNumberFormat="1" applyFont="1" applyFill="1" applyBorder="1" applyAlignment="1">
      <alignment horizontal="center" vertical="center"/>
    </xf>
    <xf numFmtId="3" fontId="25" fillId="0" borderId="7" xfId="0" applyNumberFormat="1" applyFont="1" applyFill="1" applyBorder="1" applyAlignment="1">
      <alignment horizontal="center" vertical="center"/>
    </xf>
    <xf numFmtId="3" fontId="25" fillId="0" borderId="53" xfId="0" applyNumberFormat="1" applyFont="1" applyFill="1" applyBorder="1" applyAlignment="1">
      <alignment horizontal="center" vertical="center"/>
    </xf>
    <xf numFmtId="3" fontId="25" fillId="30" borderId="52" xfId="0" applyNumberFormat="1" applyFont="1" applyFill="1" applyBorder="1" applyAlignment="1">
      <alignment horizontal="center" vertical="center"/>
    </xf>
    <xf numFmtId="3" fontId="25" fillId="30" borderId="7" xfId="0" applyNumberFormat="1" applyFont="1" applyFill="1" applyBorder="1" applyAlignment="1">
      <alignment horizontal="center" vertical="center"/>
    </xf>
    <xf numFmtId="3" fontId="25" fillId="30" borderId="53" xfId="0" applyNumberFormat="1" applyFont="1" applyFill="1" applyBorder="1" applyAlignment="1">
      <alignment horizontal="center" vertical="center"/>
    </xf>
    <xf numFmtId="49" fontId="27" fillId="30" borderId="52" xfId="32" applyNumberFormat="1" applyFont="1" applyFill="1" applyBorder="1" applyAlignment="1" applyProtection="1">
      <alignment horizontal="center" vertical="center" wrapText="1"/>
    </xf>
    <xf numFmtId="49" fontId="26" fillId="30" borderId="53" xfId="0" applyNumberFormat="1" applyFont="1" applyFill="1" applyBorder="1" applyAlignment="1" applyProtection="1">
      <alignment vertical="center" wrapText="1"/>
    </xf>
    <xf numFmtId="49" fontId="27" fillId="30" borderId="56" xfId="32" applyNumberFormat="1" applyFont="1" applyFill="1" applyBorder="1" applyAlignment="1" applyProtection="1">
      <alignment horizontal="center" vertical="center" wrapText="1"/>
    </xf>
    <xf numFmtId="49" fontId="26" fillId="30" borderId="57" xfId="0" applyNumberFormat="1" applyFont="1" applyFill="1" applyBorder="1" applyAlignment="1" applyProtection="1">
      <alignment vertical="center" wrapText="1"/>
    </xf>
    <xf numFmtId="3" fontId="26" fillId="31" borderId="56" xfId="0" applyNumberFormat="1" applyFont="1" applyFill="1" applyBorder="1" applyAlignment="1" applyProtection="1">
      <alignment horizontal="center" vertical="center"/>
      <protection locked="0"/>
    </xf>
    <xf numFmtId="3" fontId="26" fillId="31" borderId="77" xfId="0" applyNumberFormat="1" applyFont="1" applyFill="1" applyBorder="1" applyAlignment="1" applyProtection="1">
      <alignment horizontal="center" vertical="center"/>
      <protection locked="0"/>
    </xf>
    <xf numFmtId="3" fontId="26" fillId="31" borderId="57" xfId="0" applyNumberFormat="1" applyFont="1" applyFill="1" applyBorder="1" applyAlignment="1" applyProtection="1">
      <alignment horizontal="center" vertical="center"/>
      <protection locked="0"/>
    </xf>
    <xf numFmtId="3" fontId="25" fillId="30" borderId="56" xfId="0" applyNumberFormat="1" applyFont="1" applyFill="1" applyBorder="1" applyAlignment="1">
      <alignment horizontal="center" vertical="center"/>
    </xf>
    <xf numFmtId="3" fontId="25" fillId="30" borderId="77" xfId="0" applyNumberFormat="1" applyFont="1" applyFill="1" applyBorder="1" applyAlignment="1">
      <alignment horizontal="center" vertical="center"/>
    </xf>
    <xf numFmtId="3" fontId="25" fillId="30" borderId="57" xfId="0" applyNumberFormat="1" applyFont="1" applyFill="1" applyBorder="1" applyAlignment="1">
      <alignment horizontal="center" vertical="center"/>
    </xf>
    <xf numFmtId="49" fontId="12" fillId="30" borderId="75" xfId="32" applyNumberFormat="1" applyFont="1" applyFill="1" applyBorder="1" applyAlignment="1" applyProtection="1">
      <alignment horizontal="center" vertical="center" wrapText="1"/>
    </xf>
    <xf numFmtId="49" fontId="12" fillId="30" borderId="76" xfId="0" applyNumberFormat="1" applyFont="1" applyFill="1" applyBorder="1" applyAlignment="1" applyProtection="1">
      <alignment vertical="center" wrapText="1"/>
    </xf>
    <xf numFmtId="3" fontId="12" fillId="29" borderId="75" xfId="0" applyNumberFormat="1" applyFont="1" applyFill="1" applyBorder="1" applyAlignment="1">
      <alignment horizontal="center" vertical="center"/>
    </xf>
    <xf numFmtId="3" fontId="12" fillId="29" borderId="73" xfId="0" applyNumberFormat="1" applyFont="1" applyFill="1" applyBorder="1" applyAlignment="1">
      <alignment horizontal="center" vertical="center"/>
    </xf>
    <xf numFmtId="3" fontId="12" fillId="29" borderId="76" xfId="0" applyNumberFormat="1" applyFont="1" applyFill="1" applyBorder="1" applyAlignment="1">
      <alignment horizontal="center" vertical="center"/>
    </xf>
    <xf numFmtId="49" fontId="139" fillId="30" borderId="52" xfId="32" applyNumberFormat="1" applyFont="1" applyFill="1" applyBorder="1" applyAlignment="1" applyProtection="1">
      <alignment horizontal="center" vertical="center" wrapText="1"/>
    </xf>
    <xf numFmtId="49" fontId="27" fillId="30" borderId="53" xfId="0" applyNumberFormat="1" applyFont="1" applyFill="1" applyBorder="1" applyAlignment="1" applyProtection="1">
      <alignment vertical="center" wrapText="1"/>
    </xf>
    <xf numFmtId="49" fontId="27" fillId="30" borderId="57" xfId="0" applyNumberFormat="1" applyFont="1" applyFill="1" applyBorder="1" applyAlignment="1" applyProtection="1">
      <alignment vertical="center" wrapText="1"/>
    </xf>
    <xf numFmtId="49" fontId="27" fillId="30" borderId="75" xfId="32" applyNumberFormat="1" applyFont="1" applyFill="1" applyBorder="1" applyAlignment="1" applyProtection="1">
      <alignment horizontal="center" vertical="center" wrapText="1"/>
    </xf>
    <xf numFmtId="49" fontId="27" fillId="30" borderId="76" xfId="0" applyNumberFormat="1" applyFont="1" applyFill="1" applyBorder="1" applyAlignment="1" applyProtection="1">
      <alignment vertical="center" wrapText="1"/>
    </xf>
    <xf numFmtId="3" fontId="27" fillId="0" borderId="75"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3" fontId="27" fillId="0" borderId="76" xfId="0" applyNumberFormat="1" applyFont="1" applyFill="1" applyBorder="1" applyAlignment="1">
      <alignment horizontal="center" vertical="center"/>
    </xf>
    <xf numFmtId="3" fontId="12" fillId="30" borderId="75" xfId="0" applyNumberFormat="1" applyFont="1" applyFill="1" applyBorder="1" applyAlignment="1">
      <alignment horizontal="center" vertical="center"/>
    </xf>
    <xf numFmtId="3" fontId="12" fillId="30" borderId="73" xfId="0" applyNumberFormat="1" applyFont="1" applyFill="1" applyBorder="1" applyAlignment="1">
      <alignment horizontal="center" vertical="center"/>
    </xf>
    <xf numFmtId="3" fontId="12" fillId="30" borderId="76" xfId="0" applyNumberFormat="1" applyFont="1" applyFill="1" applyBorder="1" applyAlignment="1">
      <alignment horizontal="center" vertical="center"/>
    </xf>
    <xf numFmtId="3" fontId="27" fillId="0" borderId="52" xfId="0" applyNumberFormat="1" applyFont="1" applyFill="1" applyBorder="1" applyAlignment="1">
      <alignment horizontal="center" vertical="center"/>
    </xf>
    <xf numFmtId="3" fontId="27" fillId="0" borderId="7" xfId="0" applyNumberFormat="1" applyFont="1" applyFill="1" applyBorder="1" applyAlignment="1">
      <alignment horizontal="center" vertical="center"/>
    </xf>
    <xf numFmtId="3" fontId="27" fillId="0" borderId="53" xfId="0" applyNumberFormat="1" applyFont="1" applyFill="1" applyBorder="1" applyAlignment="1">
      <alignment horizontal="center" vertical="center"/>
    </xf>
    <xf numFmtId="3" fontId="12" fillId="30" borderId="52" xfId="0" applyNumberFormat="1" applyFont="1" applyFill="1" applyBorder="1" applyAlignment="1">
      <alignment horizontal="center" vertical="center"/>
    </xf>
    <xf numFmtId="3" fontId="12" fillId="30" borderId="7" xfId="0" applyNumberFormat="1" applyFont="1" applyFill="1" applyBorder="1" applyAlignment="1">
      <alignment horizontal="center" vertical="center"/>
    </xf>
    <xf numFmtId="3" fontId="12" fillId="30" borderId="53" xfId="0" applyNumberFormat="1" applyFont="1" applyFill="1" applyBorder="1" applyAlignment="1">
      <alignment horizontal="center" vertical="center"/>
    </xf>
    <xf numFmtId="3" fontId="27" fillId="0" borderId="56" xfId="0" applyNumberFormat="1" applyFont="1" applyFill="1" applyBorder="1" applyAlignment="1">
      <alignment horizontal="center" vertical="center"/>
    </xf>
    <xf numFmtId="3" fontId="27" fillId="0" borderId="77" xfId="0" applyNumberFormat="1" applyFont="1" applyFill="1" applyBorder="1" applyAlignment="1">
      <alignment horizontal="center" vertical="center"/>
    </xf>
    <xf numFmtId="3" fontId="27" fillId="0" borderId="57" xfId="0" applyNumberFormat="1" applyFont="1" applyFill="1" applyBorder="1" applyAlignment="1">
      <alignment horizontal="center" vertical="center"/>
    </xf>
    <xf numFmtId="49" fontId="12" fillId="30" borderId="49" xfId="32" applyNumberFormat="1" applyFont="1" applyFill="1" applyBorder="1" applyAlignment="1" applyProtection="1">
      <alignment horizontal="center" vertical="center" wrapText="1"/>
    </xf>
    <xf numFmtId="0" fontId="12" fillId="30" borderId="50" xfId="32" applyFont="1" applyFill="1" applyBorder="1" applyAlignment="1" applyProtection="1">
      <alignment horizontal="left" vertical="center" wrapText="1"/>
    </xf>
    <xf numFmtId="4" fontId="12" fillId="29" borderId="49" xfId="0" applyNumberFormat="1" applyFont="1" applyFill="1" applyBorder="1" applyAlignment="1">
      <alignment horizontal="center" vertical="center"/>
    </xf>
    <xf numFmtId="4" fontId="12" fillId="29" borderId="31" xfId="0" applyNumberFormat="1" applyFont="1" applyFill="1" applyBorder="1" applyAlignment="1">
      <alignment horizontal="center" vertical="center"/>
    </xf>
    <xf numFmtId="4" fontId="12" fillId="29" borderId="50" xfId="0" applyNumberFormat="1" applyFont="1" applyFill="1" applyBorder="1" applyAlignment="1">
      <alignment horizontal="center" vertical="center"/>
    </xf>
    <xf numFmtId="0" fontId="138" fillId="30" borderId="0" xfId="0" applyFont="1" applyFill="1" applyAlignment="1">
      <alignment horizontal="center" vertical="center"/>
    </xf>
    <xf numFmtId="0" fontId="27" fillId="30" borderId="53" xfId="32" applyFont="1" applyFill="1" applyBorder="1" applyAlignment="1" applyProtection="1">
      <alignment horizontal="left" vertical="center" wrapText="1"/>
    </xf>
    <xf numFmtId="4" fontId="27" fillId="29" borderId="52" xfId="0" applyNumberFormat="1" applyFont="1" applyFill="1" applyBorder="1" applyAlignment="1">
      <alignment horizontal="center" vertical="center"/>
    </xf>
    <xf numFmtId="4" fontId="27" fillId="29" borderId="7" xfId="0" applyNumberFormat="1" applyFont="1" applyFill="1" applyBorder="1" applyAlignment="1">
      <alignment horizontal="center" vertical="center"/>
    </xf>
    <xf numFmtId="4" fontId="27" fillId="29" borderId="53" xfId="0" applyNumberFormat="1" applyFont="1" applyFill="1" applyBorder="1" applyAlignment="1">
      <alignment horizontal="center" vertical="center"/>
    </xf>
    <xf numFmtId="4" fontId="12" fillId="29" borderId="52" xfId="0" applyNumberFormat="1" applyFont="1" applyFill="1" applyBorder="1" applyAlignment="1">
      <alignment horizontal="center" vertical="center"/>
    </xf>
    <xf numFmtId="4" fontId="12" fillId="29" borderId="7" xfId="0" applyNumberFormat="1" applyFont="1" applyFill="1" applyBorder="1" applyAlignment="1">
      <alignment horizontal="center" vertical="center"/>
    </xf>
    <xf numFmtId="4" fontId="12" fillId="29" borderId="53" xfId="0" applyNumberFormat="1" applyFont="1" applyFill="1" applyBorder="1" applyAlignment="1">
      <alignment horizontal="center" vertical="center"/>
    </xf>
    <xf numFmtId="0" fontId="37" fillId="30" borderId="0" xfId="0" applyFont="1" applyFill="1" applyAlignment="1">
      <alignment horizontal="center" vertical="center"/>
    </xf>
    <xf numFmtId="49" fontId="27" fillId="30" borderId="53" xfId="32" applyNumberFormat="1" applyFont="1" applyFill="1" applyBorder="1" applyAlignment="1" applyProtection="1">
      <alignment vertical="center" wrapText="1"/>
    </xf>
    <xf numFmtId="9" fontId="12" fillId="30" borderId="52" xfId="51" applyNumberFormat="1" applyFont="1" applyFill="1" applyBorder="1" applyAlignment="1">
      <alignment horizontal="center" vertical="center"/>
    </xf>
    <xf numFmtId="9" fontId="12" fillId="30" borderId="7" xfId="51" applyNumberFormat="1" applyFont="1" applyFill="1" applyBorder="1" applyAlignment="1">
      <alignment horizontal="center" vertical="center"/>
    </xf>
    <xf numFmtId="9" fontId="12" fillId="30" borderId="53" xfId="51" applyNumberFormat="1" applyFont="1" applyFill="1" applyBorder="1" applyAlignment="1">
      <alignment horizontal="center" vertical="center"/>
    </xf>
    <xf numFmtId="49" fontId="27" fillId="30" borderId="57" xfId="32" applyNumberFormat="1" applyFont="1" applyFill="1" applyBorder="1" applyAlignment="1" applyProtection="1">
      <alignment vertical="center" wrapText="1"/>
    </xf>
    <xf numFmtId="9" fontId="12" fillId="30" borderId="56" xfId="51" applyNumberFormat="1" applyFont="1" applyFill="1" applyBorder="1" applyAlignment="1">
      <alignment horizontal="center" vertical="center"/>
    </xf>
    <xf numFmtId="9" fontId="12" fillId="30" borderId="77" xfId="51" applyNumberFormat="1" applyFont="1" applyFill="1" applyBorder="1" applyAlignment="1">
      <alignment horizontal="center" vertical="center"/>
    </xf>
    <xf numFmtId="9" fontId="12" fillId="30" borderId="57" xfId="51" applyNumberFormat="1" applyFont="1" applyFill="1" applyBorder="1" applyAlignment="1">
      <alignment horizontal="center" vertical="center"/>
    </xf>
    <xf numFmtId="0" fontId="140" fillId="30" borderId="0" xfId="0" applyFont="1" applyFill="1" applyAlignment="1">
      <alignment vertical="center"/>
    </xf>
    <xf numFmtId="0" fontId="37" fillId="30" borderId="0" xfId="32" applyFont="1" applyFill="1" applyAlignment="1">
      <alignment horizontal="center" vertical="center"/>
    </xf>
    <xf numFmtId="0" fontId="27" fillId="29" borderId="0" xfId="32" applyNumberFormat="1" applyFont="1" applyFill="1" applyBorder="1" applyAlignment="1">
      <alignment horizontal="center" vertical="center"/>
    </xf>
    <xf numFmtId="0" fontId="12" fillId="29" borderId="0" xfId="32" applyNumberFormat="1" applyFont="1" applyFill="1" applyBorder="1" applyAlignment="1">
      <alignment horizontal="center" vertical="center"/>
    </xf>
    <xf numFmtId="0" fontId="27" fillId="29" borderId="0" xfId="32" applyFont="1" applyFill="1" applyBorder="1" applyAlignment="1">
      <alignment horizontal="center" vertical="center"/>
    </xf>
    <xf numFmtId="14" fontId="12" fillId="29" borderId="0" xfId="32" applyNumberFormat="1" applyFont="1" applyFill="1" applyBorder="1" applyAlignment="1">
      <alignment horizontal="center" vertical="center"/>
    </xf>
    <xf numFmtId="14" fontId="12" fillId="29" borderId="0" xfId="32" applyNumberFormat="1" applyFont="1" applyFill="1" applyBorder="1" applyAlignment="1">
      <alignment vertical="center"/>
    </xf>
    <xf numFmtId="49" fontId="27" fillId="29" borderId="0" xfId="32" applyNumberFormat="1" applyFont="1" applyFill="1" applyBorder="1" applyAlignment="1">
      <alignment horizontal="center" vertical="center"/>
    </xf>
    <xf numFmtId="0" fontId="26" fillId="29" borderId="0" xfId="32" applyNumberFormat="1" applyFont="1" applyFill="1" applyBorder="1" applyAlignment="1">
      <alignment horizontal="center" vertical="center"/>
    </xf>
    <xf numFmtId="0" fontId="27" fillId="29" borderId="0" xfId="32" applyFont="1" applyFill="1" applyBorder="1" applyAlignment="1">
      <alignment vertical="center"/>
    </xf>
    <xf numFmtId="0" fontId="12" fillId="30" borderId="0" xfId="32" applyFont="1" applyFill="1" applyAlignment="1">
      <alignment horizontal="center" vertical="center"/>
    </xf>
    <xf numFmtId="3" fontId="12" fillId="30" borderId="0" xfId="32" applyNumberFormat="1" applyFont="1" applyFill="1" applyAlignment="1">
      <alignment horizontal="center" vertical="center"/>
    </xf>
    <xf numFmtId="4" fontId="4" fillId="3" borderId="73" xfId="32" applyNumberFormat="1" applyFont="1" applyFill="1" applyBorder="1" applyAlignment="1" applyProtection="1">
      <alignment horizontal="center" vertical="center"/>
      <protection locked="0"/>
    </xf>
    <xf numFmtId="4" fontId="4" fillId="3" borderId="7" xfId="32" applyNumberFormat="1" applyFont="1" applyFill="1" applyBorder="1" applyAlignment="1" applyProtection="1">
      <alignment horizontal="center" vertical="center"/>
      <protection locked="0"/>
    </xf>
    <xf numFmtId="4" fontId="4" fillId="3" borderId="77" xfId="32" applyNumberFormat="1" applyFont="1" applyFill="1" applyBorder="1" applyAlignment="1" applyProtection="1">
      <alignment horizontal="center" vertical="center"/>
      <protection locked="0"/>
    </xf>
    <xf numFmtId="170" fontId="14" fillId="40" borderId="54" xfId="0" applyNumberFormat="1" applyFont="1" applyFill="1" applyBorder="1" applyAlignment="1" applyProtection="1">
      <alignment horizontal="center" wrapText="1"/>
    </xf>
    <xf numFmtId="0" fontId="0" fillId="0" borderId="40" xfId="0" applyBorder="1" applyAlignment="1">
      <alignment horizontal="center"/>
    </xf>
    <xf numFmtId="3" fontId="13" fillId="0" borderId="31" xfId="0" applyNumberFormat="1" applyFont="1" applyFill="1" applyBorder="1" applyAlignment="1" applyProtection="1">
      <alignment horizontal="center" vertical="center"/>
    </xf>
    <xf numFmtId="0" fontId="4" fillId="3" borderId="75" xfId="0" applyFont="1" applyFill="1" applyBorder="1" applyAlignment="1" applyProtection="1">
      <alignment horizontal="center" vertical="center" wrapText="1"/>
      <protection locked="0"/>
    </xf>
    <xf numFmtId="0" fontId="4" fillId="3" borderId="52" xfId="0"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3" fontId="4" fillId="3" borderId="17" xfId="32" applyNumberFormat="1" applyFont="1" applyFill="1" applyBorder="1" applyAlignment="1" applyProtection="1">
      <alignment horizontal="center" vertical="center" wrapText="1"/>
      <protection locked="0"/>
    </xf>
    <xf numFmtId="3" fontId="4" fillId="3" borderId="32" xfId="32" applyNumberFormat="1" applyFont="1" applyFill="1" applyBorder="1" applyAlignment="1" applyProtection="1">
      <alignment horizontal="center" vertical="center"/>
    </xf>
    <xf numFmtId="3" fontId="4" fillId="3" borderId="53" xfId="32" applyNumberFormat="1" applyFont="1" applyFill="1" applyBorder="1" applyAlignment="1" applyProtection="1">
      <alignment horizontal="center" vertical="center"/>
    </xf>
    <xf numFmtId="3" fontId="4" fillId="3" borderId="7" xfId="32" applyNumberFormat="1" applyFont="1" applyFill="1" applyBorder="1" applyAlignment="1" applyProtection="1">
      <alignment horizontal="center" vertical="center"/>
    </xf>
    <xf numFmtId="0" fontId="80" fillId="3" borderId="17" xfId="0" applyFont="1" applyFill="1" applyBorder="1" applyAlignment="1" applyProtection="1">
      <alignment horizontal="center" vertical="center" wrapText="1"/>
      <protection locked="0"/>
    </xf>
    <xf numFmtId="0" fontId="80" fillId="3" borderId="32" xfId="0" applyFont="1" applyFill="1" applyBorder="1" applyAlignment="1" applyProtection="1">
      <alignment horizontal="center" vertical="center" wrapText="1"/>
      <protection locked="0"/>
    </xf>
    <xf numFmtId="0" fontId="80" fillId="3" borderId="7" xfId="0" applyFont="1" applyFill="1" applyBorder="1" applyAlignment="1" applyProtection="1">
      <alignment horizontal="center" vertical="center" wrapText="1"/>
      <protection locked="0"/>
    </xf>
    <xf numFmtId="0" fontId="80" fillId="3" borderId="21" xfId="0" applyFont="1" applyFill="1" applyBorder="1" applyAlignment="1" applyProtection="1">
      <alignment horizontal="center" vertical="center" wrapText="1"/>
      <protection locked="0"/>
    </xf>
    <xf numFmtId="0" fontId="80" fillId="3" borderId="79" xfId="0" applyFont="1" applyFill="1" applyBorder="1" applyAlignment="1" applyProtection="1">
      <alignment horizontal="center" vertical="center" wrapText="1"/>
      <protection locked="0"/>
    </xf>
    <xf numFmtId="0" fontId="80" fillId="3" borderId="77" xfId="0" applyFont="1" applyFill="1" applyBorder="1" applyAlignment="1" applyProtection="1">
      <alignment horizontal="center" vertical="center" wrapText="1"/>
      <protection locked="0"/>
    </xf>
    <xf numFmtId="0" fontId="80" fillId="29" borderId="17" xfId="0" applyFont="1" applyFill="1" applyBorder="1" applyAlignment="1" applyProtection="1">
      <alignment horizontal="center" vertical="center" wrapText="1"/>
      <protection locked="0"/>
    </xf>
    <xf numFmtId="0" fontId="80" fillId="29" borderId="32" xfId="0" applyFont="1" applyFill="1" applyBorder="1" applyAlignment="1" applyProtection="1">
      <alignment horizontal="center" vertical="center" wrapText="1"/>
      <protection locked="0"/>
    </xf>
    <xf numFmtId="0" fontId="80" fillId="29" borderId="7" xfId="0" applyFont="1" applyFill="1" applyBorder="1" applyAlignment="1" applyProtection="1">
      <alignment horizontal="center" vertical="center" wrapText="1"/>
      <protection locked="0"/>
    </xf>
    <xf numFmtId="3" fontId="13" fillId="0" borderId="51" xfId="0" applyNumberFormat="1" applyFont="1" applyFill="1" applyBorder="1" applyAlignment="1">
      <alignment horizontal="center" vertical="center"/>
    </xf>
    <xf numFmtId="3" fontId="13" fillId="0" borderId="72" xfId="0" applyNumberFormat="1" applyFont="1" applyFill="1" applyBorder="1" applyAlignment="1">
      <alignment horizontal="center" vertical="center"/>
    </xf>
    <xf numFmtId="3" fontId="13" fillId="0" borderId="17"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3" fontId="13" fillId="0" borderId="75" xfId="0" applyNumberFormat="1" applyFont="1" applyFill="1" applyBorder="1" applyAlignment="1">
      <alignment horizontal="center" vertical="center"/>
    </xf>
    <xf numFmtId="3" fontId="13" fillId="0" borderId="29" xfId="0" applyNumberFormat="1" applyFont="1" applyFill="1" applyBorder="1" applyAlignment="1">
      <alignment horizontal="center" vertical="center"/>
    </xf>
    <xf numFmtId="0" fontId="4" fillId="3" borderId="24" xfId="0" applyFont="1" applyFill="1" applyBorder="1" applyAlignment="1" applyProtection="1">
      <alignment horizontal="center" vertical="center" wrapText="1"/>
      <protection locked="0"/>
    </xf>
    <xf numFmtId="3" fontId="13" fillId="0" borderId="24" xfId="0" applyNumberFormat="1" applyFont="1" applyFill="1" applyBorder="1" applyAlignment="1">
      <alignment horizontal="center" vertical="center"/>
    </xf>
    <xf numFmtId="3" fontId="13" fillId="0" borderId="52" xfId="0" applyNumberFormat="1" applyFont="1" applyFill="1" applyBorder="1" applyAlignment="1">
      <alignment horizontal="center" vertical="center"/>
    </xf>
    <xf numFmtId="0" fontId="31" fillId="31" borderId="7" xfId="0" applyFont="1" applyFill="1" applyBorder="1" applyAlignment="1" applyProtection="1">
      <alignment vertical="center" wrapText="1"/>
      <protection locked="0"/>
    </xf>
    <xf numFmtId="0" fontId="34" fillId="31" borderId="7" xfId="0" applyFont="1" applyFill="1" applyBorder="1" applyAlignment="1" applyProtection="1">
      <alignment horizontal="left" vertical="center" wrapText="1"/>
      <protection locked="0"/>
    </xf>
    <xf numFmtId="0" fontId="33" fillId="31" borderId="7" xfId="0" applyFont="1" applyFill="1" applyBorder="1" applyAlignment="1" applyProtection="1">
      <alignment horizontal="left" vertical="center" wrapText="1"/>
      <protection locked="0"/>
    </xf>
    <xf numFmtId="4" fontId="117" fillId="29" borderId="65" xfId="32" applyNumberFormat="1" applyFont="1" applyFill="1" applyBorder="1" applyAlignment="1" applyProtection="1">
      <alignment horizontal="center" vertical="center"/>
    </xf>
    <xf numFmtId="4" fontId="117" fillId="29" borderId="9" xfId="32" applyNumberFormat="1" applyFont="1" applyFill="1" applyBorder="1" applyAlignment="1" applyProtection="1">
      <alignment horizontal="center" vertical="center"/>
    </xf>
    <xf numFmtId="4" fontId="117" fillId="29" borderId="10" xfId="32" applyNumberFormat="1" applyFont="1" applyFill="1" applyBorder="1" applyAlignment="1" applyProtection="1">
      <alignment horizontal="center" vertical="center"/>
    </xf>
    <xf numFmtId="4" fontId="60" fillId="30" borderId="65" xfId="32" applyNumberFormat="1" applyFont="1" applyFill="1" applyBorder="1" applyAlignment="1" applyProtection="1">
      <alignment horizontal="center" vertical="center"/>
    </xf>
    <xf numFmtId="4" fontId="60" fillId="30" borderId="9" xfId="32" applyNumberFormat="1" applyFont="1" applyFill="1" applyBorder="1" applyAlignment="1" applyProtection="1">
      <alignment horizontal="center" vertical="center"/>
    </xf>
    <xf numFmtId="4" fontId="60" fillId="30" borderId="10" xfId="32" applyNumberFormat="1" applyFont="1" applyFill="1" applyBorder="1" applyAlignment="1" applyProtection="1">
      <alignment horizontal="center" vertical="center"/>
    </xf>
    <xf numFmtId="3" fontId="80" fillId="3" borderId="52" xfId="32" applyNumberFormat="1" applyFont="1" applyFill="1" applyBorder="1" applyAlignment="1" applyProtection="1">
      <alignment horizontal="center" vertical="center"/>
      <protection locked="0"/>
    </xf>
    <xf numFmtId="171" fontId="4" fillId="3" borderId="53" xfId="32" applyNumberFormat="1" applyFont="1" applyFill="1" applyBorder="1" applyAlignment="1" applyProtection="1">
      <alignment horizontal="center" vertical="center"/>
      <protection locked="0"/>
    </xf>
    <xf numFmtId="171" fontId="4" fillId="3" borderId="62" xfId="32" applyNumberFormat="1" applyFont="1" applyFill="1" applyBorder="1" applyAlignment="1" applyProtection="1">
      <alignment horizontal="center" vertical="center"/>
      <protection locked="0"/>
    </xf>
    <xf numFmtId="171" fontId="4" fillId="3" borderId="17" xfId="32" applyNumberFormat="1" applyFont="1" applyFill="1" applyBorder="1" applyAlignment="1" applyProtection="1">
      <alignment horizontal="center" vertical="center"/>
      <protection locked="0"/>
    </xf>
    <xf numFmtId="4" fontId="4" fillId="3" borderId="52" xfId="32" applyNumberFormat="1" applyFont="1" applyFill="1" applyBorder="1" applyAlignment="1" applyProtection="1">
      <alignment horizontal="center" vertical="center"/>
      <protection locked="0"/>
    </xf>
    <xf numFmtId="171" fontId="4" fillId="3" borderId="52" xfId="32" applyNumberFormat="1" applyFont="1" applyFill="1" applyBorder="1" applyAlignment="1" applyProtection="1">
      <alignment horizontal="center" vertical="center"/>
      <protection locked="0"/>
    </xf>
    <xf numFmtId="3" fontId="80" fillId="3" borderId="7" xfId="32" applyNumberFormat="1" applyFont="1" applyFill="1" applyBorder="1" applyAlignment="1" applyProtection="1">
      <alignment horizontal="center" vertical="center"/>
      <protection locked="0"/>
    </xf>
    <xf numFmtId="3" fontId="106" fillId="3" borderId="7" xfId="32" applyNumberFormat="1" applyFont="1" applyFill="1" applyBorder="1" applyAlignment="1" applyProtection="1">
      <alignment horizontal="center" vertical="center"/>
      <protection locked="0"/>
    </xf>
    <xf numFmtId="4" fontId="60" fillId="29" borderId="9" xfId="32" applyNumberFormat="1" applyFont="1" applyFill="1" applyBorder="1" applyAlignment="1" applyProtection="1">
      <alignment horizontal="center" vertical="center"/>
    </xf>
    <xf numFmtId="4" fontId="60" fillId="29" borderId="10" xfId="32" applyNumberFormat="1" applyFont="1" applyFill="1" applyBorder="1" applyAlignment="1" applyProtection="1">
      <alignment horizontal="center" vertical="center"/>
    </xf>
    <xf numFmtId="49" fontId="66" fillId="21" borderId="39" xfId="32" applyNumberFormat="1" applyFont="1" applyFill="1" applyBorder="1" applyAlignment="1" applyProtection="1">
      <alignment horizontal="center" vertical="center"/>
    </xf>
    <xf numFmtId="49" fontId="66" fillId="21" borderId="26" xfId="32" applyNumberFormat="1" applyFont="1" applyFill="1" applyBorder="1" applyAlignment="1" applyProtection="1">
      <alignment horizontal="center" vertical="center"/>
    </xf>
    <xf numFmtId="49" fontId="66" fillId="21" borderId="5" xfId="32" applyNumberFormat="1" applyFont="1" applyFill="1" applyBorder="1" applyAlignment="1" applyProtection="1">
      <alignment horizontal="center" vertical="center"/>
    </xf>
    <xf numFmtId="0" fontId="67" fillId="21" borderId="36" xfId="32" applyFont="1" applyFill="1" applyBorder="1" applyAlignment="1" applyProtection="1">
      <alignment horizontal="right" vertical="center"/>
    </xf>
    <xf numFmtId="0" fontId="67" fillId="21" borderId="37" xfId="32" applyFont="1" applyFill="1" applyBorder="1" applyAlignment="1" applyProtection="1">
      <alignment horizontal="right" vertical="center"/>
    </xf>
    <xf numFmtId="0" fontId="67" fillId="21" borderId="18" xfId="32" applyFont="1" applyFill="1" applyBorder="1" applyAlignment="1" applyProtection="1">
      <alignment horizontal="right" vertical="center"/>
    </xf>
    <xf numFmtId="0" fontId="67" fillId="21" borderId="27" xfId="32" applyFont="1" applyFill="1" applyBorder="1" applyAlignment="1" applyProtection="1">
      <alignment horizontal="right" vertical="center"/>
    </xf>
    <xf numFmtId="0" fontId="67" fillId="21" borderId="0" xfId="32" applyFont="1" applyFill="1" applyBorder="1" applyAlignment="1" applyProtection="1">
      <alignment horizontal="right" vertical="center"/>
    </xf>
    <xf numFmtId="0" fontId="67" fillId="21" borderId="16" xfId="32" applyFont="1" applyFill="1" applyBorder="1" applyAlignment="1" applyProtection="1">
      <alignment horizontal="right" vertical="center"/>
    </xf>
    <xf numFmtId="0" fontId="67" fillId="21" borderId="25" xfId="32" applyFont="1" applyFill="1" applyBorder="1" applyAlignment="1" applyProtection="1">
      <alignment horizontal="right" vertical="center"/>
    </xf>
    <xf numFmtId="0" fontId="67" fillId="21" borderId="33" xfId="32" applyFont="1" applyFill="1" applyBorder="1" applyAlignment="1" applyProtection="1">
      <alignment horizontal="right" vertical="center"/>
    </xf>
    <xf numFmtId="0" fontId="67" fillId="21" borderId="6" xfId="32" applyFont="1" applyFill="1" applyBorder="1" applyAlignment="1" applyProtection="1">
      <alignment horizontal="right" vertical="center"/>
    </xf>
    <xf numFmtId="0" fontId="66" fillId="21" borderId="42" xfId="32" applyFont="1" applyFill="1" applyBorder="1" applyAlignment="1" applyProtection="1">
      <alignment horizontal="right" vertical="center"/>
    </xf>
    <xf numFmtId="0" fontId="66" fillId="21" borderId="20" xfId="32" applyFont="1" applyFill="1" applyBorder="1" applyAlignment="1" applyProtection="1">
      <alignment horizontal="right" vertical="center"/>
    </xf>
    <xf numFmtId="0" fontId="66" fillId="21" borderId="43" xfId="32" applyFont="1" applyFill="1" applyBorder="1" applyAlignment="1" applyProtection="1">
      <alignment horizontal="right" vertical="center"/>
    </xf>
    <xf numFmtId="0" fontId="66" fillId="0" borderId="24" xfId="32" applyNumberFormat="1" applyFont="1" applyFill="1" applyBorder="1" applyAlignment="1" applyProtection="1">
      <alignment horizontal="left" vertical="center"/>
      <protection locked="0"/>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0" fontId="66" fillId="21" borderId="24" xfId="32" applyFont="1" applyFill="1" applyBorder="1" applyAlignment="1" applyProtection="1">
      <alignment horizontal="right" vertical="center"/>
    </xf>
    <xf numFmtId="0" fontId="66" fillId="21" borderId="23" xfId="32" applyFont="1" applyFill="1" applyBorder="1" applyAlignment="1" applyProtection="1">
      <alignment horizontal="right" vertical="center"/>
    </xf>
    <xf numFmtId="0" fontId="66" fillId="21" borderId="15" xfId="32" applyFont="1" applyFill="1" applyBorder="1" applyAlignment="1" applyProtection="1">
      <alignment horizontal="right" vertical="center"/>
    </xf>
    <xf numFmtId="49" fontId="66" fillId="21" borderId="39" xfId="32" applyNumberFormat="1" applyFont="1" applyFill="1" applyBorder="1" applyAlignment="1" applyProtection="1">
      <alignment horizontal="left" vertical="center"/>
    </xf>
    <xf numFmtId="49" fontId="66" fillId="21" borderId="26" xfId="32" applyNumberFormat="1" applyFont="1" applyFill="1" applyBorder="1" applyAlignment="1" applyProtection="1">
      <alignment horizontal="left" vertical="center"/>
    </xf>
    <xf numFmtId="0" fontId="67" fillId="0" borderId="24" xfId="32" applyFont="1" applyBorder="1" applyAlignment="1">
      <alignment horizontal="right" vertical="center"/>
    </xf>
    <xf numFmtId="0" fontId="67" fillId="0" borderId="23" xfId="32" applyFont="1" applyBorder="1" applyAlignment="1">
      <alignment horizontal="right" vertical="center"/>
    </xf>
    <xf numFmtId="0" fontId="67" fillId="0" borderId="15" xfId="32" applyFont="1" applyBorder="1" applyAlignment="1">
      <alignment horizontal="right" vertical="center"/>
    </xf>
    <xf numFmtId="49" fontId="69" fillId="3" borderId="24" xfId="32" applyNumberFormat="1" applyFont="1" applyFill="1" applyBorder="1" applyAlignment="1" applyProtection="1">
      <alignment horizontal="left" vertical="center"/>
      <protection locked="0"/>
    </xf>
    <xf numFmtId="49" fontId="69" fillId="3" borderId="23" xfId="32" applyNumberFormat="1" applyFont="1" applyFill="1" applyBorder="1" applyAlignment="1" applyProtection="1">
      <alignment horizontal="left" vertical="center"/>
      <protection locked="0"/>
    </xf>
    <xf numFmtId="49" fontId="69" fillId="3" borderId="15" xfId="32" applyNumberFormat="1" applyFont="1" applyFill="1" applyBorder="1" applyAlignment="1" applyProtection="1">
      <alignment horizontal="left" vertical="center"/>
      <protection locked="0"/>
    </xf>
    <xf numFmtId="0" fontId="66" fillId="0" borderId="24" xfId="32" applyFont="1" applyBorder="1" applyAlignment="1">
      <alignment horizontal="right" vertical="center"/>
    </xf>
    <xf numFmtId="0" fontId="66" fillId="0" borderId="23" xfId="32" applyFont="1" applyBorder="1" applyAlignment="1">
      <alignment horizontal="right" vertical="center"/>
    </xf>
    <xf numFmtId="0" fontId="66" fillId="0" borderId="15" xfId="32" applyFont="1" applyBorder="1" applyAlignment="1">
      <alignment horizontal="right" vertical="center"/>
    </xf>
    <xf numFmtId="49" fontId="67" fillId="0" borderId="24" xfId="32" applyNumberFormat="1" applyFont="1" applyFill="1" applyBorder="1" applyAlignment="1">
      <alignment horizontal="left" vertical="center"/>
    </xf>
    <xf numFmtId="49" fontId="67" fillId="0" borderId="23" xfId="32" applyNumberFormat="1" applyFont="1" applyFill="1" applyBorder="1" applyAlignment="1">
      <alignment horizontal="left" vertical="center"/>
    </xf>
    <xf numFmtId="49" fontId="67" fillId="0" borderId="15" xfId="32" applyNumberFormat="1" applyFont="1" applyFill="1" applyBorder="1" applyAlignment="1">
      <alignment horizontal="left" vertical="center"/>
    </xf>
    <xf numFmtId="0" fontId="66" fillId="0" borderId="36" xfId="32" applyFont="1" applyBorder="1" applyAlignment="1">
      <alignment horizontal="right" vertical="center"/>
    </xf>
    <xf numFmtId="0" fontId="66" fillId="0" borderId="37" xfId="32" applyFont="1" applyBorder="1" applyAlignment="1">
      <alignment horizontal="right" vertical="center"/>
    </xf>
    <xf numFmtId="0" fontId="66" fillId="0" borderId="18" xfId="32" applyFont="1" applyBorder="1" applyAlignment="1">
      <alignment horizontal="right" vertical="center"/>
    </xf>
    <xf numFmtId="49" fontId="67" fillId="0" borderId="36" xfId="32" applyNumberFormat="1" applyFont="1" applyFill="1" applyBorder="1" applyAlignment="1">
      <alignment horizontal="left" vertical="center"/>
    </xf>
    <xf numFmtId="49" fontId="67" fillId="0" borderId="37" xfId="32" applyNumberFormat="1" applyFont="1" applyFill="1" applyBorder="1" applyAlignment="1">
      <alignment horizontal="left" vertical="center"/>
    </xf>
    <xf numFmtId="49" fontId="67" fillId="0" borderId="18" xfId="32" applyNumberFormat="1" applyFont="1" applyFill="1" applyBorder="1" applyAlignment="1">
      <alignment horizontal="left" vertical="center"/>
    </xf>
    <xf numFmtId="0" fontId="66" fillId="21" borderId="38" xfId="32" applyFont="1" applyFill="1" applyBorder="1" applyAlignment="1" applyProtection="1">
      <alignment horizontal="center" vertical="center"/>
    </xf>
    <xf numFmtId="0" fontId="66" fillId="21" borderId="9" xfId="32" applyFont="1" applyFill="1" applyBorder="1" applyAlignment="1" applyProtection="1">
      <alignment horizontal="center" vertical="center"/>
    </xf>
    <xf numFmtId="0" fontId="66" fillId="21" borderId="10" xfId="32" applyFont="1" applyFill="1" applyBorder="1" applyAlignment="1" applyProtection="1">
      <alignment horizontal="center" vertical="center"/>
    </xf>
    <xf numFmtId="0" fontId="69" fillId="29" borderId="8" xfId="32" applyNumberFormat="1" applyFont="1" applyFill="1" applyBorder="1" applyAlignment="1" applyProtection="1">
      <alignment horizontal="center" vertical="center"/>
    </xf>
    <xf numFmtId="0" fontId="69" fillId="29" borderId="3" xfId="32" applyNumberFormat="1" applyFont="1" applyFill="1" applyBorder="1" applyAlignment="1" applyProtection="1">
      <alignment horizontal="center" vertical="center"/>
    </xf>
    <xf numFmtId="0" fontId="69" fillId="29" borderId="24" xfId="32" applyNumberFormat="1" applyFont="1" applyFill="1" applyBorder="1" applyAlignment="1" applyProtection="1">
      <alignment horizontal="center" vertical="center"/>
    </xf>
    <xf numFmtId="0" fontId="69" fillId="29" borderId="23" xfId="32" applyNumberFormat="1" applyFont="1" applyFill="1" applyBorder="1" applyAlignment="1" applyProtection="1">
      <alignment horizontal="center" vertical="center"/>
    </xf>
    <xf numFmtId="0" fontId="69" fillId="29" borderId="15" xfId="32" applyNumberFormat="1" applyFont="1" applyFill="1" applyBorder="1" applyAlignment="1" applyProtection="1">
      <alignment horizontal="center" vertical="center"/>
    </xf>
    <xf numFmtId="0" fontId="69" fillId="29" borderId="30" xfId="32" applyNumberFormat="1" applyFont="1" applyFill="1" applyBorder="1" applyAlignment="1" applyProtection="1">
      <alignment horizontal="center" vertical="center"/>
    </xf>
    <xf numFmtId="0" fontId="69" fillId="29" borderId="28" xfId="32" applyNumberFormat="1" applyFont="1" applyFill="1" applyBorder="1" applyAlignment="1" applyProtection="1">
      <alignment horizontal="center" vertical="center"/>
    </xf>
    <xf numFmtId="0" fontId="69" fillId="29" borderId="19" xfId="32" applyNumberFormat="1" applyFont="1" applyFill="1" applyBorder="1" applyAlignment="1" applyProtection="1">
      <alignment horizontal="center" vertical="center"/>
    </xf>
    <xf numFmtId="0" fontId="66" fillId="0" borderId="25" xfId="32" applyFont="1" applyBorder="1" applyAlignment="1">
      <alignment horizontal="right" vertical="center"/>
    </xf>
    <xf numFmtId="0" fontId="66" fillId="0" borderId="33" xfId="32" applyFont="1" applyBorder="1" applyAlignment="1">
      <alignment horizontal="right" vertical="center"/>
    </xf>
    <xf numFmtId="0" fontId="66" fillId="0" borderId="6" xfId="32" applyFont="1" applyBorder="1" applyAlignment="1">
      <alignment horizontal="right" vertical="center"/>
    </xf>
    <xf numFmtId="0" fontId="66" fillId="0" borderId="24" xfId="32" applyFont="1" applyBorder="1" applyAlignment="1" applyProtection="1">
      <alignment horizontal="right" vertical="center"/>
    </xf>
    <xf numFmtId="0" fontId="66" fillId="0" borderId="23" xfId="32" applyFont="1" applyBorder="1" applyAlignment="1" applyProtection="1">
      <alignment horizontal="right" vertical="center"/>
    </xf>
    <xf numFmtId="0" fontId="66" fillId="0" borderId="15" xfId="32" applyFont="1" applyBorder="1" applyAlignment="1" applyProtection="1">
      <alignment horizontal="right" vertical="center"/>
    </xf>
    <xf numFmtId="49" fontId="69" fillId="29" borderId="24" xfId="32" applyNumberFormat="1" applyFont="1" applyFill="1" applyBorder="1" applyAlignment="1" applyProtection="1">
      <alignment horizontal="center" vertical="center"/>
    </xf>
    <xf numFmtId="49" fontId="69" fillId="29" borderId="23" xfId="32" applyNumberFormat="1" applyFont="1" applyFill="1" applyBorder="1" applyAlignment="1" applyProtection="1">
      <alignment horizontal="center" vertical="center"/>
    </xf>
    <xf numFmtId="49" fontId="69" fillId="29" borderId="15" xfId="32" applyNumberFormat="1" applyFont="1" applyFill="1" applyBorder="1" applyAlignment="1" applyProtection="1">
      <alignment horizontal="center" vertical="center"/>
    </xf>
    <xf numFmtId="49" fontId="69" fillId="3" borderId="29" xfId="32" applyNumberFormat="1" applyFont="1" applyFill="1" applyBorder="1" applyAlignment="1" applyProtection="1">
      <alignment horizontal="center" vertical="center"/>
      <protection locked="0"/>
    </xf>
    <xf numFmtId="49" fontId="69" fillId="3" borderId="22" xfId="32" applyNumberFormat="1" applyFont="1" applyFill="1" applyBorder="1" applyAlignment="1" applyProtection="1">
      <alignment horizontal="center" vertical="center"/>
      <protection locked="0"/>
    </xf>
    <xf numFmtId="49" fontId="69" fillId="3" borderId="14" xfId="32" applyNumberFormat="1" applyFont="1" applyFill="1" applyBorder="1" applyAlignment="1" applyProtection="1">
      <alignment horizontal="center" vertical="center"/>
      <protection locked="0"/>
    </xf>
    <xf numFmtId="0" fontId="66" fillId="21" borderId="40" xfId="32" applyFont="1" applyFill="1" applyBorder="1" applyAlignment="1" applyProtection="1">
      <alignment horizontal="center" vertical="center"/>
    </xf>
    <xf numFmtId="0" fontId="66" fillId="21" borderId="11" xfId="32" applyFont="1" applyFill="1" applyBorder="1" applyAlignment="1" applyProtection="1">
      <alignment horizontal="center" vertical="center"/>
    </xf>
    <xf numFmtId="0" fontId="66" fillId="21" borderId="41" xfId="32" applyFont="1" applyFill="1" applyBorder="1" applyAlignment="1" applyProtection="1">
      <alignment horizontal="center" vertical="center"/>
    </xf>
    <xf numFmtId="0" fontId="66" fillId="21" borderId="27" xfId="32" applyFont="1" applyFill="1" applyBorder="1" applyAlignment="1" applyProtection="1">
      <alignment horizontal="center" vertical="center"/>
    </xf>
    <xf numFmtId="0" fontId="66" fillId="21" borderId="0" xfId="32" applyFont="1" applyFill="1" applyBorder="1" applyAlignment="1" applyProtection="1">
      <alignment horizontal="center" vertical="center"/>
    </xf>
    <xf numFmtId="0" fontId="66" fillId="21" borderId="16" xfId="32" applyFont="1" applyFill="1" applyBorder="1" applyAlignment="1" applyProtection="1">
      <alignment horizontal="center" vertical="center"/>
    </xf>
    <xf numFmtId="0" fontId="66" fillId="21" borderId="42" xfId="32" applyFont="1" applyFill="1" applyBorder="1" applyAlignment="1" applyProtection="1">
      <alignment horizontal="center" vertical="center"/>
    </xf>
    <xf numFmtId="0" fontId="66" fillId="21" borderId="20" xfId="32" applyFont="1" applyFill="1" applyBorder="1" applyAlignment="1" applyProtection="1">
      <alignment horizontal="center" vertical="center"/>
    </xf>
    <xf numFmtId="0" fontId="66" fillId="21" borderId="43" xfId="32" applyFont="1" applyFill="1" applyBorder="1" applyAlignment="1" applyProtection="1">
      <alignment horizontal="center" vertical="center"/>
    </xf>
    <xf numFmtId="0" fontId="69" fillId="29" borderId="29" xfId="32" applyNumberFormat="1" applyFont="1" applyFill="1" applyBorder="1" applyAlignment="1" applyProtection="1">
      <alignment horizontal="center" vertical="center"/>
    </xf>
    <xf numFmtId="0" fontId="69" fillId="29" borderId="22" xfId="32" applyNumberFormat="1" applyFont="1" applyFill="1" applyBorder="1" applyAlignment="1" applyProtection="1">
      <alignment horizontal="center" vertical="center"/>
    </xf>
    <xf numFmtId="0" fontId="69" fillId="29" borderId="14" xfId="32" applyNumberFormat="1" applyFont="1" applyFill="1" applyBorder="1" applyAlignment="1" applyProtection="1">
      <alignment horizontal="center" vertical="center"/>
    </xf>
    <xf numFmtId="49" fontId="67" fillId="3" borderId="24" xfId="32" applyNumberFormat="1" applyFont="1" applyFill="1" applyBorder="1" applyAlignment="1" applyProtection="1">
      <alignment horizontal="left" vertical="center"/>
      <protection locked="0"/>
    </xf>
    <xf numFmtId="49" fontId="67" fillId="3" borderId="23" xfId="32" applyNumberFormat="1" applyFont="1" applyFill="1" applyBorder="1" applyAlignment="1" applyProtection="1">
      <alignment horizontal="left" vertical="center"/>
      <protection locked="0"/>
    </xf>
    <xf numFmtId="49" fontId="67" fillId="3" borderId="15" xfId="32" applyNumberFormat="1" applyFont="1" applyFill="1" applyBorder="1" applyAlignment="1" applyProtection="1">
      <alignment horizontal="left" vertical="center"/>
      <protection locked="0"/>
    </xf>
    <xf numFmtId="49" fontId="78" fillId="0" borderId="0" xfId="32" applyNumberFormat="1" applyFont="1" applyBorder="1" applyAlignment="1">
      <alignment horizontal="center" vertical="center"/>
    </xf>
    <xf numFmtId="0" fontId="66" fillId="0" borderId="0" xfId="32" applyNumberFormat="1" applyFont="1" applyBorder="1" applyAlignment="1">
      <alignment horizontal="center" vertical="center"/>
    </xf>
    <xf numFmtId="49" fontId="66" fillId="40" borderId="35" xfId="32" applyNumberFormat="1" applyFont="1" applyFill="1" applyBorder="1" applyAlignment="1">
      <alignment horizontal="center" vertical="center"/>
    </xf>
    <xf numFmtId="49" fontId="66" fillId="40" borderId="34" xfId="32" applyNumberFormat="1" applyFont="1" applyFill="1" applyBorder="1" applyAlignment="1">
      <alignment horizontal="center" vertical="center"/>
    </xf>
    <xf numFmtId="0" fontId="66" fillId="40" borderId="29" xfId="32" applyFont="1" applyFill="1" applyBorder="1" applyAlignment="1">
      <alignment horizontal="center" vertical="center"/>
    </xf>
    <xf numFmtId="0" fontId="66" fillId="40" borderId="22" xfId="32" applyFont="1" applyFill="1" applyBorder="1" applyAlignment="1">
      <alignment horizontal="center" vertical="center"/>
    </xf>
    <xf numFmtId="0" fontId="66" fillId="40" borderId="14" xfId="32" applyFont="1" applyFill="1" applyBorder="1" applyAlignment="1">
      <alignment horizontal="center" vertical="center"/>
    </xf>
    <xf numFmtId="0" fontId="66" fillId="40" borderId="30" xfId="32" applyFont="1" applyFill="1" applyBorder="1" applyAlignment="1">
      <alignment horizontal="center" vertical="center"/>
    </xf>
    <xf numFmtId="0" fontId="66" fillId="40" borderId="28" xfId="32" applyFont="1" applyFill="1" applyBorder="1" applyAlignment="1">
      <alignment horizontal="center" vertical="center"/>
    </xf>
    <xf numFmtId="0" fontId="66" fillId="40" borderId="19" xfId="32" applyFont="1" applyFill="1" applyBorder="1" applyAlignment="1">
      <alignment horizontal="center" vertical="center"/>
    </xf>
    <xf numFmtId="0" fontId="68" fillId="40" borderId="30" xfId="32" applyFont="1" applyFill="1" applyBorder="1" applyAlignment="1">
      <alignment horizontal="center" vertical="center"/>
    </xf>
    <xf numFmtId="0" fontId="68" fillId="40" borderId="28" xfId="32" applyFont="1" applyFill="1" applyBorder="1" applyAlignment="1">
      <alignment horizontal="center" vertical="center"/>
    </xf>
    <xf numFmtId="0" fontId="68" fillId="40" borderId="19" xfId="32" applyFont="1" applyFill="1" applyBorder="1" applyAlignment="1">
      <alignment horizontal="center" vertical="center"/>
    </xf>
    <xf numFmtId="0" fontId="66" fillId="0" borderId="29" xfId="32" applyFont="1" applyBorder="1" applyAlignment="1">
      <alignment horizontal="right" vertical="center"/>
    </xf>
    <xf numFmtId="0" fontId="66" fillId="0" borderId="22" xfId="32" applyFont="1" applyBorder="1" applyAlignment="1">
      <alignment horizontal="right" vertical="center"/>
    </xf>
    <xf numFmtId="0" fontId="66" fillId="0" borderId="14" xfId="32" applyFont="1" applyBorder="1" applyAlignment="1">
      <alignment horizontal="right" vertical="center"/>
    </xf>
    <xf numFmtId="49" fontId="67" fillId="3" borderId="29" xfId="32" applyNumberFormat="1" applyFont="1" applyFill="1" applyBorder="1" applyAlignment="1" applyProtection="1">
      <alignment horizontal="left" vertical="center"/>
      <protection locked="0"/>
    </xf>
    <xf numFmtId="49" fontId="67" fillId="3" borderId="22" xfId="32" applyNumberFormat="1" applyFont="1" applyFill="1" applyBorder="1" applyAlignment="1" applyProtection="1">
      <alignment horizontal="left" vertical="center"/>
      <protection locked="0"/>
    </xf>
    <xf numFmtId="49" fontId="67" fillId="3" borderId="14" xfId="32" applyNumberFormat="1" applyFont="1" applyFill="1" applyBorder="1" applyAlignment="1" applyProtection="1">
      <alignment horizontal="left" vertical="center"/>
      <protection locked="0"/>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49" fontId="7" fillId="30" borderId="0" xfId="0" applyNumberFormat="1" applyFont="1" applyFill="1" applyBorder="1" applyAlignment="1">
      <alignment horizontal="center" vertical="center" wrapText="1"/>
    </xf>
    <xf numFmtId="49" fontId="7" fillId="30" borderId="0" xfId="0" applyNumberFormat="1" applyFont="1" applyFill="1" applyBorder="1" applyAlignment="1">
      <alignment horizontal="center" vertical="center"/>
    </xf>
    <xf numFmtId="0" fontId="12" fillId="30" borderId="0" xfId="0" applyNumberFormat="1" applyFont="1" applyFill="1" applyBorder="1" applyAlignment="1">
      <alignment horizontal="center" vertical="center"/>
    </xf>
    <xf numFmtId="49" fontId="12" fillId="40" borderId="35" xfId="0" applyNumberFormat="1" applyFont="1" applyFill="1" applyBorder="1" applyAlignment="1">
      <alignment horizontal="center" vertical="center"/>
    </xf>
    <xf numFmtId="49" fontId="12" fillId="40" borderId="34" xfId="0" applyNumberFormat="1" applyFont="1" applyFill="1" applyBorder="1" applyAlignment="1">
      <alignment horizontal="center" vertical="center"/>
    </xf>
    <xf numFmtId="0" fontId="12" fillId="40" borderId="29" xfId="0" applyFont="1" applyFill="1" applyBorder="1" applyAlignment="1">
      <alignment horizontal="center" vertical="center"/>
    </xf>
    <xf numFmtId="0" fontId="12" fillId="40" borderId="22" xfId="0" applyFont="1" applyFill="1" applyBorder="1" applyAlignment="1">
      <alignment horizontal="center" vertical="center"/>
    </xf>
    <xf numFmtId="0" fontId="12" fillId="40" borderId="14" xfId="0" applyFont="1" applyFill="1" applyBorder="1" applyAlignment="1">
      <alignment horizontal="center" vertical="center"/>
    </xf>
    <xf numFmtId="0" fontId="12" fillId="40" borderId="30" xfId="0" applyFont="1" applyFill="1" applyBorder="1" applyAlignment="1">
      <alignment horizontal="center" vertical="center"/>
    </xf>
    <xf numFmtId="0" fontId="12" fillId="40" borderId="28" xfId="0" applyFont="1" applyFill="1" applyBorder="1" applyAlignment="1">
      <alignment horizontal="center" vertical="center"/>
    </xf>
    <xf numFmtId="0" fontId="12" fillId="40" borderId="19" xfId="0" applyFont="1" applyFill="1" applyBorder="1" applyAlignment="1">
      <alignment horizontal="center" vertical="center"/>
    </xf>
    <xf numFmtId="0" fontId="25" fillId="40" borderId="30" xfId="0" applyFont="1" applyFill="1" applyBorder="1" applyAlignment="1">
      <alignment horizontal="center" vertical="center"/>
    </xf>
    <xf numFmtId="0" fontId="25" fillId="40" borderId="28" xfId="0" applyFont="1" applyFill="1" applyBorder="1" applyAlignment="1">
      <alignment horizontal="center" vertical="center"/>
    </xf>
    <xf numFmtId="0" fontId="25" fillId="40" borderId="19" xfId="0" applyFont="1" applyFill="1" applyBorder="1" applyAlignment="1">
      <alignment horizontal="center" vertical="center"/>
    </xf>
    <xf numFmtId="0" fontId="13" fillId="30" borderId="1" xfId="0" applyFont="1" applyFill="1" applyBorder="1" applyAlignment="1">
      <alignment horizontal="left" vertical="center"/>
    </xf>
    <xf numFmtId="0" fontId="13" fillId="30" borderId="8" xfId="0" applyFont="1" applyFill="1" applyBorder="1" applyAlignment="1">
      <alignment horizontal="left" vertical="center"/>
    </xf>
    <xf numFmtId="0" fontId="13" fillId="30" borderId="3" xfId="0" applyFont="1" applyFill="1" applyBorder="1" applyAlignment="1">
      <alignment horizontal="left" vertical="center"/>
    </xf>
    <xf numFmtId="0" fontId="25" fillId="30" borderId="1" xfId="0" applyFont="1" applyFill="1" applyBorder="1" applyAlignment="1">
      <alignment horizontal="center" vertical="center"/>
    </xf>
    <xf numFmtId="0" fontId="25" fillId="30" borderId="8" xfId="0" applyFont="1" applyFill="1" applyBorder="1" applyAlignment="1">
      <alignment horizontal="center" vertical="center"/>
    </xf>
    <xf numFmtId="0" fontId="25" fillId="30" borderId="3" xfId="0" applyFont="1" applyFill="1" applyBorder="1" applyAlignment="1">
      <alignment horizontal="center" vertical="center"/>
    </xf>
    <xf numFmtId="0" fontId="4" fillId="30" borderId="29" xfId="0" applyFont="1" applyFill="1" applyBorder="1" applyAlignment="1">
      <alignment horizontal="right" vertical="center"/>
    </xf>
    <xf numFmtId="0" fontId="4" fillId="30" borderId="22" xfId="0" applyFont="1" applyFill="1" applyBorder="1" applyAlignment="1">
      <alignment horizontal="right" vertical="center"/>
    </xf>
    <xf numFmtId="0" fontId="4" fillId="30" borderId="14" xfId="0" applyFont="1" applyFill="1" applyBorder="1" applyAlignment="1">
      <alignment horizontal="right" vertical="center"/>
    </xf>
    <xf numFmtId="49" fontId="27" fillId="3" borderId="24" xfId="0" applyNumberFormat="1" applyFont="1" applyFill="1" applyBorder="1" applyAlignment="1" applyProtection="1">
      <alignment horizontal="left" vertical="center"/>
      <protection locked="0"/>
    </xf>
    <xf numFmtId="49" fontId="27" fillId="3" borderId="23" xfId="0" applyNumberFormat="1" applyFont="1" applyFill="1" applyBorder="1" applyAlignment="1" applyProtection="1">
      <alignment horizontal="left" vertical="center"/>
      <protection locked="0"/>
    </xf>
    <xf numFmtId="49" fontId="27" fillId="3" borderId="15" xfId="0" applyNumberFormat="1" applyFont="1" applyFill="1" applyBorder="1" applyAlignment="1" applyProtection="1">
      <alignment horizontal="left" vertical="center"/>
      <protection locked="0"/>
    </xf>
    <xf numFmtId="0" fontId="13" fillId="21" borderId="24" xfId="0" applyFont="1" applyFill="1" applyBorder="1" applyAlignment="1" applyProtection="1">
      <alignment horizontal="right" vertical="center"/>
    </xf>
    <xf numFmtId="0" fontId="13" fillId="21" borderId="23" xfId="0" applyFont="1" applyFill="1" applyBorder="1" applyAlignment="1" applyProtection="1">
      <alignment horizontal="right" vertical="center"/>
    </xf>
    <xf numFmtId="0" fontId="13" fillId="21" borderId="15" xfId="0" applyFont="1" applyFill="1" applyBorder="1" applyAlignment="1" applyProtection="1">
      <alignment horizontal="right" vertical="center"/>
    </xf>
    <xf numFmtId="0" fontId="4" fillId="30" borderId="30" xfId="0" applyFont="1" applyFill="1" applyBorder="1" applyAlignment="1">
      <alignment horizontal="right" vertical="center"/>
    </xf>
    <xf numFmtId="0" fontId="4" fillId="30" borderId="28" xfId="0" applyFont="1" applyFill="1" applyBorder="1" applyAlignment="1">
      <alignment horizontal="right" vertical="center"/>
    </xf>
    <xf numFmtId="0" fontId="4" fillId="30" borderId="19" xfId="0" applyFont="1" applyFill="1" applyBorder="1" applyAlignment="1">
      <alignment horizontal="right" vertical="center"/>
    </xf>
    <xf numFmtId="0" fontId="13" fillId="21" borderId="29" xfId="0" applyFont="1" applyFill="1" applyBorder="1" applyAlignment="1" applyProtection="1">
      <alignment horizontal="right" vertical="center"/>
    </xf>
    <xf numFmtId="0" fontId="13" fillId="21" borderId="22" xfId="0" applyFont="1" applyFill="1" applyBorder="1" applyAlignment="1" applyProtection="1">
      <alignment horizontal="right" vertical="center"/>
    </xf>
    <xf numFmtId="0" fontId="13" fillId="21" borderId="14" xfId="0" applyFont="1" applyFill="1" applyBorder="1" applyAlignment="1" applyProtection="1">
      <alignment horizontal="right" vertical="center"/>
    </xf>
    <xf numFmtId="0" fontId="4" fillId="30" borderId="24" xfId="0" applyFont="1" applyFill="1" applyBorder="1" applyAlignment="1">
      <alignment horizontal="right"/>
    </xf>
    <xf numFmtId="0" fontId="4" fillId="30" borderId="23" xfId="0" applyFont="1" applyFill="1" applyBorder="1" applyAlignment="1">
      <alignment horizontal="right"/>
    </xf>
    <xf numFmtId="0" fontId="4" fillId="30" borderId="15" xfId="0" applyFont="1" applyFill="1" applyBorder="1" applyAlignment="1">
      <alignment horizontal="right"/>
    </xf>
    <xf numFmtId="0" fontId="5" fillId="30" borderId="24" xfId="0" applyFont="1" applyFill="1" applyBorder="1" applyAlignment="1">
      <alignment horizontal="right"/>
    </xf>
    <xf numFmtId="0" fontId="5" fillId="30" borderId="23" xfId="0" applyFont="1" applyFill="1" applyBorder="1" applyAlignment="1">
      <alignment horizontal="right"/>
    </xf>
    <xf numFmtId="0" fontId="5" fillId="30" borderId="15" xfId="0" applyFont="1" applyFill="1" applyBorder="1" applyAlignment="1">
      <alignment horizontal="right"/>
    </xf>
    <xf numFmtId="0" fontId="4" fillId="30" borderId="30" xfId="0" applyFont="1" applyFill="1" applyBorder="1" applyAlignment="1">
      <alignment horizontal="right"/>
    </xf>
    <xf numFmtId="0" fontId="4" fillId="30" borderId="28" xfId="0" applyFont="1" applyFill="1" applyBorder="1" applyAlignment="1">
      <alignment horizontal="right"/>
    </xf>
    <xf numFmtId="0" fontId="4" fillId="30" borderId="19" xfId="0" applyFont="1" applyFill="1" applyBorder="1" applyAlignment="1">
      <alignment horizontal="right"/>
    </xf>
    <xf numFmtId="49" fontId="27" fillId="3" borderId="30" xfId="0" applyNumberFormat="1" applyFont="1" applyFill="1" applyBorder="1" applyAlignment="1" applyProtection="1">
      <alignment horizontal="left" vertical="center"/>
      <protection locked="0"/>
    </xf>
    <xf numFmtId="49" fontId="27" fillId="3" borderId="28" xfId="0" applyNumberFormat="1" applyFont="1" applyFill="1" applyBorder="1" applyAlignment="1" applyProtection="1">
      <alignment horizontal="left" vertical="center"/>
      <protection locked="0"/>
    </xf>
    <xf numFmtId="49" fontId="27" fillId="3" borderId="2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49" fontId="27" fillId="3" borderId="14" xfId="0" applyNumberFormat="1" applyFont="1" applyFill="1" applyBorder="1" applyAlignment="1" applyProtection="1">
      <alignment horizontal="left" vertical="center"/>
      <protection locked="0"/>
    </xf>
    <xf numFmtId="49" fontId="26" fillId="3" borderId="24" xfId="0" applyNumberFormat="1" applyFont="1" applyFill="1" applyBorder="1" applyAlignment="1" applyProtection="1">
      <alignment horizontal="left" vertical="center"/>
      <protection locked="0"/>
    </xf>
    <xf numFmtId="49" fontId="26" fillId="3" borderId="23" xfId="0" applyNumberFormat="1" applyFont="1" applyFill="1" applyBorder="1" applyAlignment="1" applyProtection="1">
      <alignment horizontal="left" vertical="center"/>
      <protection locked="0"/>
    </xf>
    <xf numFmtId="49" fontId="26" fillId="3" borderId="15" xfId="0" applyNumberFormat="1" applyFont="1" applyFill="1" applyBorder="1" applyAlignment="1" applyProtection="1">
      <alignment horizontal="left" vertical="center"/>
      <protection locked="0"/>
    </xf>
    <xf numFmtId="49" fontId="9" fillId="3" borderId="24" xfId="2" applyNumberFormat="1" applyFill="1" applyBorder="1" applyAlignment="1" applyProtection="1">
      <alignment horizontal="left" vertical="center"/>
      <protection locked="0"/>
    </xf>
    <xf numFmtId="49" fontId="9" fillId="3" borderId="23" xfId="2" applyNumberFormat="1" applyFill="1" applyBorder="1" applyAlignment="1" applyProtection="1">
      <alignment horizontal="left" vertical="center"/>
      <protection locked="0"/>
    </xf>
    <xf numFmtId="49" fontId="9" fillId="3" borderId="15" xfId="2" applyNumberFormat="1" applyFill="1" applyBorder="1" applyAlignment="1" applyProtection="1">
      <alignment horizontal="left" vertical="center"/>
      <protection locked="0"/>
    </xf>
    <xf numFmtId="49" fontId="9" fillId="3" borderId="30" xfId="2" applyNumberFormat="1" applyFill="1" applyBorder="1" applyAlignment="1" applyProtection="1">
      <alignment horizontal="left" vertical="center"/>
      <protection locked="0"/>
    </xf>
    <xf numFmtId="49" fontId="9" fillId="3" borderId="28" xfId="2" applyNumberFormat="1" applyFill="1" applyBorder="1" applyAlignment="1" applyProtection="1">
      <alignment horizontal="left" vertical="center"/>
      <protection locked="0"/>
    </xf>
    <xf numFmtId="49" fontId="9" fillId="3" borderId="19" xfId="2" applyNumberFormat="1" applyFill="1" applyBorder="1" applyAlignment="1" applyProtection="1">
      <alignment horizontal="left" vertical="center"/>
      <protection locked="0"/>
    </xf>
    <xf numFmtId="0" fontId="13" fillId="40" borderId="40" xfId="0" applyFont="1" applyFill="1" applyBorder="1" applyAlignment="1" applyProtection="1">
      <alignment horizontal="center" vertical="center" wrapText="1"/>
    </xf>
    <xf numFmtId="0" fontId="13" fillId="40" borderId="41"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xf>
    <xf numFmtId="0" fontId="13" fillId="40" borderId="9" xfId="0" applyFont="1" applyFill="1" applyBorder="1" applyAlignment="1" applyProtection="1">
      <alignment horizontal="center" vertical="center"/>
    </xf>
    <xf numFmtId="0" fontId="13" fillId="40" borderId="10" xfId="0" applyFont="1" applyFill="1" applyBorder="1" applyAlignment="1" applyProtection="1">
      <alignment horizontal="center" vertical="center"/>
    </xf>
    <xf numFmtId="0" fontId="12" fillId="0" borderId="0" xfId="0" applyFont="1" applyFill="1" applyBorder="1" applyAlignment="1">
      <alignment horizontal="center" vertical="center" wrapText="1"/>
    </xf>
    <xf numFmtId="0" fontId="7" fillId="0" borderId="0" xfId="0" applyFont="1" applyAlignment="1">
      <alignment horizontal="center" vertical="center" wrapText="1"/>
    </xf>
    <xf numFmtId="0" fontId="12" fillId="0" borderId="0" xfId="0" applyFont="1" applyFill="1" applyAlignment="1">
      <alignment horizontal="center" vertical="center" wrapText="1"/>
    </xf>
    <xf numFmtId="0" fontId="13" fillId="40" borderId="51" xfId="0" applyFont="1" applyFill="1" applyBorder="1" applyAlignment="1" applyProtection="1">
      <alignment horizontal="center" vertical="center" wrapText="1"/>
    </xf>
    <xf numFmtId="0" fontId="13" fillId="40" borderId="39" xfId="0" applyFont="1" applyFill="1" applyBorder="1" applyAlignment="1" applyProtection="1">
      <alignment horizontal="center" vertical="center" wrapText="1"/>
    </xf>
    <xf numFmtId="0" fontId="5" fillId="0" borderId="0" xfId="0" applyFont="1" applyAlignment="1">
      <alignment horizontal="center" vertical="center"/>
    </xf>
    <xf numFmtId="0" fontId="13" fillId="40" borderId="76" xfId="0" applyFont="1" applyFill="1" applyBorder="1" applyAlignment="1" applyProtection="1">
      <alignment horizontal="center" vertical="center" wrapText="1"/>
    </xf>
    <xf numFmtId="0" fontId="13" fillId="40" borderId="55" xfId="0" applyFont="1" applyFill="1" applyBorder="1" applyAlignment="1" applyProtection="1">
      <alignment horizontal="center" vertical="center" wrapText="1"/>
    </xf>
    <xf numFmtId="0" fontId="13" fillId="40" borderId="72" xfId="0" applyFont="1" applyFill="1" applyBorder="1" applyAlignment="1" applyProtection="1">
      <alignment horizontal="center" vertical="center" wrapText="1"/>
    </xf>
    <xf numFmtId="0" fontId="13" fillId="40" borderId="69" xfId="0" applyFont="1" applyFill="1" applyBorder="1" applyAlignment="1" applyProtection="1">
      <alignment horizontal="center" vertical="center" wrapText="1"/>
    </xf>
    <xf numFmtId="0" fontId="4" fillId="0" borderId="51"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7" fillId="0" borderId="0" xfId="0" applyFont="1" applyBorder="1" applyAlignment="1">
      <alignment horizontal="center" vertical="center" wrapText="1"/>
    </xf>
    <xf numFmtId="49" fontId="61" fillId="29" borderId="51" xfId="52" applyNumberFormat="1" applyFont="1" applyFill="1" applyBorder="1" applyAlignment="1" applyProtection="1">
      <alignment horizontal="center" vertical="center" wrapText="1"/>
    </xf>
    <xf numFmtId="49" fontId="61" fillId="29" borderId="17" xfId="52" applyNumberFormat="1" applyFont="1" applyFill="1" applyBorder="1" applyAlignment="1" applyProtection="1">
      <alignment horizontal="center" vertical="center" wrapText="1"/>
    </xf>
    <xf numFmtId="0" fontId="61" fillId="30" borderId="0" xfId="52" applyFont="1" applyFill="1" applyAlignment="1">
      <alignment horizontal="left" indent="1"/>
    </xf>
    <xf numFmtId="49" fontId="61" fillId="34" borderId="5" xfId="52" applyNumberFormat="1" applyFont="1" applyFill="1" applyBorder="1" applyAlignment="1" applyProtection="1">
      <alignment horizontal="center" vertical="center" wrapText="1"/>
    </xf>
    <xf numFmtId="49" fontId="61" fillId="34" borderId="17" xfId="52" applyNumberFormat="1" applyFont="1" applyFill="1" applyBorder="1" applyAlignment="1" applyProtection="1">
      <alignment horizontal="center" vertical="center" wrapText="1"/>
    </xf>
    <xf numFmtId="49" fontId="61" fillId="34" borderId="21"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center" vertical="center"/>
    </xf>
    <xf numFmtId="0" fontId="61" fillId="34" borderId="17" xfId="52" applyFont="1" applyFill="1" applyBorder="1" applyAlignment="1" applyProtection="1">
      <alignment horizontal="center" vertical="center"/>
    </xf>
    <xf numFmtId="0" fontId="61" fillId="34" borderId="21" xfId="52" applyFont="1" applyFill="1" applyBorder="1" applyAlignment="1" applyProtection="1">
      <alignment horizontal="center" vertical="center"/>
    </xf>
    <xf numFmtId="0" fontId="61" fillId="29" borderId="51" xfId="52" applyFont="1" applyFill="1" applyBorder="1" applyAlignment="1" applyProtection="1">
      <alignment horizontal="left" vertical="center" wrapText="1"/>
    </xf>
    <xf numFmtId="0" fontId="61" fillId="29" borderId="17" xfId="52" applyFont="1" applyFill="1" applyBorder="1" applyAlignment="1" applyProtection="1">
      <alignment horizontal="left" vertical="center" wrapText="1"/>
    </xf>
    <xf numFmtId="0" fontId="61" fillId="26" borderId="5" xfId="40" quotePrefix="1" applyFont="1" applyFill="1" applyBorder="1" applyAlignment="1" applyProtection="1">
      <alignment horizontal="center" vertical="center" wrapText="1"/>
    </xf>
    <xf numFmtId="0" fontId="61" fillId="26" borderId="39" xfId="40" quotePrefix="1" applyFont="1" applyFill="1" applyBorder="1" applyAlignment="1" applyProtection="1">
      <alignment horizontal="center" vertical="center" wrapText="1"/>
    </xf>
    <xf numFmtId="0" fontId="61" fillId="26" borderId="5" xfId="52" applyFont="1" applyFill="1" applyBorder="1" applyAlignment="1" applyProtection="1">
      <alignment horizontal="center" vertical="center" wrapText="1"/>
    </xf>
    <xf numFmtId="0" fontId="61" fillId="26" borderId="39" xfId="52" applyFont="1" applyFill="1" applyBorder="1" applyAlignment="1" applyProtection="1">
      <alignment horizontal="center" vertical="center" wrapText="1"/>
    </xf>
    <xf numFmtId="0" fontId="36" fillId="29" borderId="0" xfId="0" applyFont="1" applyFill="1" applyAlignment="1">
      <alignment horizontal="left" vertical="center" wrapText="1"/>
    </xf>
    <xf numFmtId="0" fontId="113" fillId="30" borderId="0" xfId="52" applyFont="1" applyFill="1" applyAlignment="1">
      <alignment horizontal="left" wrapText="1"/>
    </xf>
    <xf numFmtId="0" fontId="7" fillId="30" borderId="0" xfId="32" applyFont="1" applyFill="1" applyAlignment="1">
      <alignment horizontal="center" wrapText="1"/>
    </xf>
    <xf numFmtId="0" fontId="12" fillId="30" borderId="0" xfId="0" applyFont="1" applyFill="1" applyAlignment="1">
      <alignment horizontal="center"/>
    </xf>
    <xf numFmtId="49" fontId="61" fillId="34" borderId="39"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left" vertical="center"/>
    </xf>
    <xf numFmtId="0" fontId="61" fillId="34" borderId="39" xfId="52" applyFont="1" applyFill="1" applyBorder="1" applyAlignment="1" applyProtection="1">
      <alignment horizontal="left" vertical="center"/>
    </xf>
    <xf numFmtId="0" fontId="61" fillId="21" borderId="51" xfId="52" applyFont="1" applyFill="1" applyBorder="1" applyAlignment="1" applyProtection="1">
      <alignment horizontal="left" vertical="center" wrapText="1"/>
    </xf>
    <xf numFmtId="0" fontId="61" fillId="21" borderId="17" xfId="52" applyFont="1" applyFill="1" applyBorder="1" applyAlignment="1" applyProtection="1">
      <alignment horizontal="left" vertical="center" wrapText="1"/>
    </xf>
    <xf numFmtId="49" fontId="61" fillId="30" borderId="5" xfId="52" applyNumberFormat="1" applyFont="1" applyFill="1" applyBorder="1" applyAlignment="1" applyProtection="1">
      <alignment horizontal="center" vertical="center" wrapText="1"/>
    </xf>
    <xf numFmtId="49" fontId="61" fillId="30" borderId="17" xfId="52" applyNumberFormat="1" applyFont="1" applyFill="1" applyBorder="1" applyAlignment="1" applyProtection="1">
      <alignment horizontal="center" vertical="center" wrapText="1"/>
    </xf>
    <xf numFmtId="0" fontId="61" fillId="21" borderId="5" xfId="52" applyFont="1" applyFill="1" applyBorder="1" applyAlignment="1" applyProtection="1">
      <alignment horizontal="left" vertical="center" wrapText="1"/>
    </xf>
    <xf numFmtId="49" fontId="61" fillId="34" borderId="51" xfId="52" applyNumberFormat="1" applyFont="1" applyFill="1" applyBorder="1" applyAlignment="1" applyProtection="1">
      <alignment horizontal="center" vertical="center" wrapText="1"/>
    </xf>
    <xf numFmtId="0" fontId="61" fillId="34" borderId="51" xfId="52" applyFont="1" applyFill="1" applyBorder="1" applyAlignment="1" applyProtection="1">
      <alignment horizontal="left" vertical="center"/>
    </xf>
    <xf numFmtId="0" fontId="61" fillId="34" borderId="17" xfId="52" applyFont="1" applyFill="1" applyBorder="1" applyAlignment="1" applyProtection="1">
      <alignment horizontal="left" vertical="center"/>
    </xf>
    <xf numFmtId="0" fontId="89" fillId="30" borderId="0" xfId="52" applyFont="1" applyFill="1" applyAlignment="1"/>
    <xf numFmtId="0" fontId="61" fillId="29" borderId="51" xfId="52" applyFont="1" applyFill="1" applyBorder="1" applyAlignment="1" applyProtection="1">
      <alignment horizontal="left" vertical="center"/>
    </xf>
    <xf numFmtId="0" fontId="61" fillId="29" borderId="17" xfId="52" applyFont="1" applyFill="1" applyBorder="1" applyAlignment="1" applyProtection="1">
      <alignment horizontal="left" vertical="center"/>
    </xf>
    <xf numFmtId="0" fontId="12" fillId="30" borderId="0" xfId="32" applyFont="1" applyFill="1" applyAlignment="1" applyProtection="1">
      <alignment horizontal="center" vertical="center" wrapText="1"/>
    </xf>
    <xf numFmtId="0" fontId="12" fillId="30" borderId="20" xfId="32" applyFont="1" applyFill="1" applyBorder="1" applyAlignment="1" applyProtection="1">
      <alignment horizontal="center" vertical="center" wrapText="1"/>
    </xf>
    <xf numFmtId="0" fontId="27" fillId="29" borderId="0" xfId="0" applyFont="1" applyFill="1" applyAlignment="1">
      <alignment horizontal="left" vertical="center" wrapText="1"/>
    </xf>
    <xf numFmtId="0" fontId="12" fillId="40" borderId="40" xfId="32" applyFont="1" applyFill="1" applyBorder="1" applyAlignment="1" applyProtection="1">
      <alignment horizontal="center" vertical="center" wrapText="1"/>
    </xf>
    <xf numFmtId="0" fontId="12" fillId="40" borderId="11" xfId="32" applyFont="1" applyFill="1" applyBorder="1" applyAlignment="1" applyProtection="1">
      <alignment horizontal="center" vertical="center" wrapText="1"/>
    </xf>
    <xf numFmtId="0" fontId="12" fillId="40" borderId="41" xfId="32" applyFont="1" applyFill="1" applyBorder="1" applyAlignment="1" applyProtection="1">
      <alignment horizontal="center" vertical="center" wrapText="1"/>
    </xf>
    <xf numFmtId="0" fontId="12" fillId="40" borderId="25" xfId="32" applyFont="1" applyFill="1" applyBorder="1" applyAlignment="1" applyProtection="1">
      <alignment horizontal="center" vertical="center" wrapText="1"/>
    </xf>
    <xf numFmtId="0" fontId="12" fillId="40" borderId="33" xfId="32" applyFont="1" applyFill="1" applyBorder="1" applyAlignment="1" applyProtection="1">
      <alignment horizontal="center" vertical="center" wrapText="1"/>
    </xf>
    <xf numFmtId="0" fontId="12" fillId="40" borderId="6" xfId="32" applyFont="1" applyFill="1" applyBorder="1" applyAlignment="1" applyProtection="1">
      <alignment horizontal="center" vertical="center" wrapText="1"/>
    </xf>
    <xf numFmtId="0" fontId="12" fillId="40" borderId="75" xfId="32" applyFont="1" applyFill="1" applyBorder="1" applyAlignment="1" applyProtection="1">
      <alignment horizontal="center" vertical="center" wrapText="1"/>
    </xf>
    <xf numFmtId="0" fontId="12" fillId="40" borderId="73" xfId="32" applyFont="1" applyFill="1" applyBorder="1" applyAlignment="1" applyProtection="1">
      <alignment horizontal="center" vertical="center" wrapText="1"/>
    </xf>
    <xf numFmtId="0" fontId="12" fillId="40" borderId="76" xfId="32" applyFont="1" applyFill="1" applyBorder="1" applyAlignment="1" applyProtection="1">
      <alignment horizontal="center" vertical="center" wrapText="1"/>
    </xf>
    <xf numFmtId="0" fontId="12" fillId="40" borderId="52" xfId="32" applyFont="1" applyFill="1" applyBorder="1" applyAlignment="1" applyProtection="1">
      <alignment horizontal="center" vertical="center" wrapText="1"/>
    </xf>
    <xf numFmtId="0" fontId="12" fillId="40" borderId="7" xfId="32" applyFont="1" applyFill="1" applyBorder="1" applyAlignment="1" applyProtection="1">
      <alignment horizontal="center" vertical="center" wrapText="1"/>
    </xf>
    <xf numFmtId="0" fontId="12" fillId="40" borderId="53" xfId="32" applyFont="1" applyFill="1" applyBorder="1" applyAlignment="1" applyProtection="1">
      <alignment horizontal="center" vertical="center" wrapText="1"/>
    </xf>
    <xf numFmtId="0" fontId="12" fillId="30" borderId="0" xfId="32" applyFont="1" applyFill="1" applyAlignment="1">
      <alignment horizontal="left" vertical="center"/>
    </xf>
    <xf numFmtId="0" fontId="26" fillId="30" borderId="0" xfId="32" applyFont="1" applyFill="1" applyAlignment="1">
      <alignment horizontal="left" vertical="center"/>
    </xf>
    <xf numFmtId="0" fontId="27" fillId="40" borderId="52" xfId="32" applyFont="1" applyFill="1" applyBorder="1" applyAlignment="1" applyProtection="1">
      <alignment horizontal="center" vertical="center"/>
    </xf>
    <xf numFmtId="0" fontId="27" fillId="40" borderId="56" xfId="32" applyFont="1" applyFill="1" applyBorder="1" applyAlignment="1" applyProtection="1">
      <alignment horizontal="center" vertical="center"/>
    </xf>
    <xf numFmtId="0" fontId="27" fillId="40" borderId="53" xfId="32" applyFont="1" applyFill="1" applyBorder="1" applyAlignment="1" applyProtection="1">
      <alignment vertical="center"/>
    </xf>
    <xf numFmtId="0" fontId="27" fillId="40" borderId="57" xfId="32" applyFont="1" applyFill="1" applyBorder="1" applyAlignment="1" applyProtection="1">
      <alignment vertical="center"/>
    </xf>
    <xf numFmtId="0" fontId="12" fillId="40" borderId="45" xfId="32" applyFont="1" applyFill="1" applyBorder="1" applyAlignment="1" applyProtection="1">
      <alignment horizontal="center" vertical="center" wrapText="1"/>
    </xf>
    <xf numFmtId="0" fontId="37" fillId="40" borderId="58" xfId="0" applyFont="1" applyFill="1" applyBorder="1" applyAlignment="1">
      <alignment horizontal="center" vertical="center" wrapText="1"/>
    </xf>
    <xf numFmtId="0" fontId="37" fillId="40" borderId="46" xfId="0" applyFont="1" applyFill="1" applyBorder="1" applyAlignment="1">
      <alignment horizontal="center" vertical="center" wrapText="1"/>
    </xf>
    <xf numFmtId="2" fontId="12" fillId="40" borderId="75" xfId="32" applyNumberFormat="1" applyFont="1" applyFill="1" applyBorder="1" applyAlignment="1" applyProtection="1">
      <alignment horizontal="center" vertical="center" wrapText="1"/>
    </xf>
    <xf numFmtId="2" fontId="12" fillId="40" borderId="73" xfId="32" applyNumberFormat="1" applyFont="1" applyFill="1" applyBorder="1" applyAlignment="1" applyProtection="1">
      <alignment horizontal="center" vertical="center" wrapText="1"/>
    </xf>
    <xf numFmtId="2" fontId="12" fillId="40" borderId="76" xfId="32" applyNumberFormat="1" applyFont="1" applyFill="1" applyBorder="1" applyAlignment="1" applyProtection="1">
      <alignment horizontal="center" vertical="center" wrapText="1"/>
    </xf>
    <xf numFmtId="0" fontId="103"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33" fillId="40" borderId="7" xfId="0" applyFont="1" applyFill="1" applyBorder="1" applyAlignment="1" applyProtection="1">
      <alignment horizontal="center" vertical="center" wrapText="1"/>
    </xf>
    <xf numFmtId="0" fontId="34" fillId="40" borderId="7" xfId="0" applyFont="1" applyFill="1" applyBorder="1" applyAlignment="1" applyProtection="1">
      <alignment vertical="center"/>
    </xf>
    <xf numFmtId="2" fontId="33" fillId="40" borderId="7" xfId="0" applyNumberFormat="1" applyFont="1" applyFill="1" applyBorder="1" applyAlignment="1" applyProtection="1">
      <alignment horizontal="center" vertical="center" wrapText="1"/>
    </xf>
    <xf numFmtId="0" fontId="28" fillId="29" borderId="0" xfId="0" applyFont="1" applyFill="1" applyBorder="1" applyAlignment="1" applyProtection="1">
      <alignment horizontal="center" vertical="center" wrapText="1"/>
    </xf>
    <xf numFmtId="0" fontId="7" fillId="30" borderId="0" xfId="0" applyFont="1" applyFill="1" applyAlignment="1" applyProtection="1">
      <alignment horizontal="center" vertical="center" wrapText="1"/>
    </xf>
    <xf numFmtId="0" fontId="11" fillId="30" borderId="0" xfId="0" applyFont="1" applyFill="1" applyAlignment="1" applyProtection="1">
      <alignment horizontal="center" vertical="center" wrapText="1"/>
    </xf>
    <xf numFmtId="0" fontId="34" fillId="29" borderId="0" xfId="0" applyFont="1" applyFill="1" applyAlignment="1">
      <alignment horizontal="left" vertical="center" wrapText="1"/>
    </xf>
    <xf numFmtId="0" fontId="6" fillId="31" borderId="7" xfId="0" applyFont="1" applyFill="1" applyBorder="1" applyAlignment="1" applyProtection="1">
      <alignment horizontal="center" vertical="center"/>
      <protection locked="0"/>
    </xf>
    <xf numFmtId="0" fontId="33" fillId="30" borderId="0" xfId="0" applyFont="1" applyFill="1" applyAlignment="1">
      <alignment horizontal="left" vertical="center"/>
    </xf>
    <xf numFmtId="0" fontId="35" fillId="30" borderId="0" xfId="0" applyFont="1" applyFill="1" applyAlignment="1">
      <alignment horizontal="left" vertical="center"/>
    </xf>
    <xf numFmtId="0" fontId="7" fillId="0" borderId="0" xfId="32" applyFont="1" applyAlignment="1">
      <alignment horizontal="center" wrapText="1"/>
    </xf>
    <xf numFmtId="0" fontId="12" fillId="0" borderId="0" xfId="32" applyFont="1" applyFill="1" applyAlignment="1">
      <alignment horizontal="center"/>
    </xf>
    <xf numFmtId="0" fontId="33" fillId="40" borderId="45" xfId="32" applyFont="1" applyFill="1" applyBorder="1" applyAlignment="1" applyProtection="1">
      <alignment horizontal="center" vertical="center" wrapText="1"/>
    </xf>
    <xf numFmtId="0" fontId="33" fillId="40" borderId="47" xfId="32" applyFont="1" applyFill="1" applyBorder="1" applyAlignment="1" applyProtection="1">
      <alignment horizontal="center" vertical="center" wrapText="1"/>
    </xf>
    <xf numFmtId="0" fontId="33" fillId="40" borderId="46" xfId="32" applyFont="1" applyFill="1" applyBorder="1" applyAlignment="1">
      <alignment horizontal="center" vertical="center"/>
    </xf>
    <xf numFmtId="0" fontId="33" fillId="40" borderId="48" xfId="32" applyFont="1" applyFill="1" applyBorder="1" applyAlignment="1">
      <alignment horizontal="center" vertical="center"/>
    </xf>
    <xf numFmtId="0" fontId="33" fillId="40" borderId="35" xfId="32" applyFont="1" applyFill="1" applyBorder="1" applyAlignment="1">
      <alignment horizontal="center" vertical="center"/>
    </xf>
    <xf numFmtId="0" fontId="33" fillId="40" borderId="34" xfId="32" applyFont="1" applyFill="1" applyBorder="1" applyAlignment="1">
      <alignment horizontal="center" vertical="center"/>
    </xf>
    <xf numFmtId="0" fontId="33" fillId="40" borderId="35" xfId="32" applyFont="1" applyFill="1" applyBorder="1" applyAlignment="1" applyProtection="1">
      <alignment horizontal="center" vertical="center" wrapText="1"/>
    </xf>
    <xf numFmtId="0" fontId="33" fillId="40" borderId="34" xfId="32" applyFont="1" applyFill="1" applyBorder="1" applyAlignment="1" applyProtection="1">
      <alignment horizontal="center" vertical="center" wrapText="1"/>
    </xf>
    <xf numFmtId="0" fontId="103"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5" fillId="29" borderId="0" xfId="32" applyFont="1" applyFill="1" applyAlignment="1">
      <alignment horizontal="left" wrapText="1"/>
    </xf>
    <xf numFmtId="0" fontId="33" fillId="0" borderId="0" xfId="32" applyFont="1" applyAlignment="1">
      <alignment horizontal="left" indent="1"/>
    </xf>
    <xf numFmtId="0" fontId="35" fillId="0" borderId="0" xfId="32" applyFont="1" applyAlignment="1"/>
    <xf numFmtId="0" fontId="7" fillId="30" borderId="0" xfId="32" applyFont="1" applyFill="1" applyAlignment="1">
      <alignment horizontal="center" vertical="center" wrapText="1"/>
    </xf>
    <xf numFmtId="0" fontId="12" fillId="0" borderId="0" xfId="32" applyFont="1" applyFill="1" applyBorder="1" applyAlignment="1">
      <alignment horizontal="center"/>
    </xf>
    <xf numFmtId="0" fontId="33" fillId="40" borderId="72" xfId="32" applyFont="1" applyFill="1" applyBorder="1" applyAlignment="1">
      <alignment horizontal="center" vertical="center" wrapText="1"/>
    </xf>
    <xf numFmtId="0" fontId="33" fillId="40" borderId="22" xfId="32" applyFont="1" applyFill="1" applyBorder="1" applyAlignment="1">
      <alignment horizontal="center" vertical="center" wrapText="1"/>
    </xf>
    <xf numFmtId="0" fontId="33" fillId="40" borderId="14" xfId="32" applyFont="1" applyFill="1" applyBorder="1" applyAlignment="1">
      <alignment horizontal="center" vertical="center" wrapText="1"/>
    </xf>
    <xf numFmtId="0" fontId="33" fillId="30" borderId="0" xfId="0" applyFont="1" applyFill="1" applyAlignment="1">
      <alignment horizontal="left" indent="1"/>
    </xf>
    <xf numFmtId="0" fontId="35" fillId="30" borderId="0" xfId="0" applyFont="1" applyFill="1" applyAlignment="1"/>
    <xf numFmtId="0" fontId="12" fillId="30" borderId="0" xfId="32" applyFont="1" applyFill="1" applyAlignment="1">
      <alignment horizontal="center"/>
    </xf>
    <xf numFmtId="0" fontId="33" fillId="40" borderId="29" xfId="32" applyFont="1" applyFill="1" applyBorder="1" applyAlignment="1">
      <alignment horizontal="center" vertical="center"/>
    </xf>
    <xf numFmtId="0" fontId="33" fillId="40" borderId="22" xfId="32" applyFont="1" applyFill="1" applyBorder="1" applyAlignment="1">
      <alignment horizontal="center" vertical="center"/>
    </xf>
    <xf numFmtId="0" fontId="33" fillId="40" borderId="14" xfId="32" applyFont="1" applyFill="1" applyBorder="1" applyAlignment="1">
      <alignment horizontal="center" vertical="center"/>
    </xf>
    <xf numFmtId="0" fontId="33" fillId="40" borderId="75" xfId="32" applyFont="1" applyFill="1" applyBorder="1" applyAlignment="1" applyProtection="1">
      <alignment horizontal="center" vertical="center" wrapText="1"/>
    </xf>
    <xf numFmtId="0" fontId="33" fillId="40" borderId="56" xfId="32" applyFont="1" applyFill="1" applyBorder="1" applyAlignment="1" applyProtection="1">
      <alignment horizontal="center" vertical="center" wrapText="1"/>
    </xf>
    <xf numFmtId="0" fontId="33" fillId="40" borderId="58" xfId="32" applyFont="1" applyFill="1" applyBorder="1" applyAlignment="1" applyProtection="1">
      <alignment horizontal="center" vertical="center" wrapText="1"/>
    </xf>
    <xf numFmtId="0" fontId="33" fillId="40" borderId="71" xfId="32" applyFont="1" applyFill="1" applyBorder="1" applyAlignment="1" applyProtection="1">
      <alignment horizontal="center" vertical="center" wrapText="1"/>
    </xf>
    <xf numFmtId="0" fontId="76" fillId="40" borderId="74" xfId="32" applyFont="1" applyFill="1" applyBorder="1" applyAlignment="1" applyProtection="1">
      <alignment horizontal="center" vertical="center" wrapText="1"/>
    </xf>
    <xf numFmtId="0" fontId="76" fillId="40" borderId="78" xfId="32" applyFont="1" applyFill="1" applyBorder="1" applyAlignment="1" applyProtection="1">
      <alignment horizontal="center" vertical="center" wrapText="1"/>
    </xf>
    <xf numFmtId="0" fontId="36" fillId="30" borderId="0" xfId="0" applyFont="1" applyFill="1" applyAlignment="1"/>
    <xf numFmtId="0" fontId="13" fillId="40" borderId="35" xfId="32" applyFont="1" applyFill="1" applyBorder="1" applyAlignment="1">
      <alignment horizontal="center" vertical="center" wrapText="1"/>
    </xf>
    <xf numFmtId="0" fontId="13" fillId="40" borderId="34" xfId="32" applyFont="1" applyFill="1" applyBorder="1" applyAlignment="1">
      <alignment horizontal="center" vertical="center" wrapText="1"/>
    </xf>
    <xf numFmtId="0" fontId="12" fillId="30" borderId="0" xfId="32" applyFont="1" applyFill="1" applyBorder="1" applyAlignment="1">
      <alignment horizontal="center" vertical="center"/>
    </xf>
    <xf numFmtId="0" fontId="33" fillId="40" borderId="35" xfId="32" applyFont="1" applyFill="1" applyBorder="1" applyAlignment="1">
      <alignment horizontal="left" vertical="center" wrapText="1"/>
    </xf>
    <xf numFmtId="0" fontId="33" fillId="40" borderId="34" xfId="32" applyFont="1" applyFill="1" applyBorder="1" applyAlignment="1">
      <alignment horizontal="left" vertical="center" wrapText="1"/>
    </xf>
    <xf numFmtId="0" fontId="33" fillId="40" borderId="35" xfId="32" applyFont="1" applyFill="1" applyBorder="1" applyAlignment="1">
      <alignment horizontal="center" vertical="center" wrapText="1"/>
    </xf>
    <xf numFmtId="0" fontId="33" fillId="40" borderId="34" xfId="32" applyFont="1" applyFill="1" applyBorder="1" applyAlignment="1">
      <alignment horizontal="center" vertical="center" wrapText="1"/>
    </xf>
    <xf numFmtId="0" fontId="13" fillId="40" borderId="1" xfId="32" applyFont="1" applyFill="1" applyBorder="1" applyAlignment="1">
      <alignment horizontal="center" vertical="center" wrapText="1"/>
    </xf>
    <xf numFmtId="0" fontId="13" fillId="40" borderId="8" xfId="32" applyFont="1" applyFill="1" applyBorder="1" applyAlignment="1">
      <alignment horizontal="center" vertical="center" wrapText="1"/>
    </xf>
    <xf numFmtId="0" fontId="13" fillId="40" borderId="3" xfId="32" applyFont="1" applyFill="1" applyBorder="1" applyAlignment="1">
      <alignment horizontal="center" vertical="center" wrapText="1"/>
    </xf>
    <xf numFmtId="0" fontId="5" fillId="30" borderId="0" xfId="32" applyFont="1" applyFill="1" applyBorder="1" applyAlignment="1">
      <alignment horizontal="center" vertical="center"/>
    </xf>
    <xf numFmtId="3" fontId="33" fillId="40" borderId="40" xfId="32" applyNumberFormat="1" applyFont="1" applyFill="1" applyBorder="1" applyAlignment="1">
      <alignment horizontal="center" vertical="center" wrapText="1"/>
    </xf>
    <xf numFmtId="3" fontId="33" fillId="40" borderId="11" xfId="32" applyNumberFormat="1" applyFont="1" applyFill="1" applyBorder="1" applyAlignment="1">
      <alignment horizontal="center" vertical="center" wrapText="1"/>
    </xf>
    <xf numFmtId="3" fontId="33" fillId="40" borderId="41" xfId="32" applyNumberFormat="1" applyFont="1" applyFill="1" applyBorder="1" applyAlignment="1">
      <alignment horizontal="center" vertical="center" wrapText="1"/>
    </xf>
    <xf numFmtId="0" fontId="33" fillId="40" borderId="1" xfId="32" applyFont="1" applyFill="1" applyBorder="1" applyAlignment="1">
      <alignment horizontal="center" vertical="center" wrapText="1"/>
    </xf>
    <xf numFmtId="0" fontId="33" fillId="40" borderId="8" xfId="32" applyFont="1" applyFill="1" applyBorder="1" applyAlignment="1">
      <alignment horizontal="center" vertical="center" wrapText="1"/>
    </xf>
    <xf numFmtId="0" fontId="33" fillId="40" borderId="3" xfId="32" applyFont="1" applyFill="1" applyBorder="1" applyAlignment="1">
      <alignment horizontal="center" vertical="center" wrapText="1"/>
    </xf>
    <xf numFmtId="0" fontId="13" fillId="30" borderId="20" xfId="32" applyFont="1" applyFill="1" applyBorder="1" applyAlignment="1">
      <alignment horizontal="center"/>
    </xf>
    <xf numFmtId="0" fontId="75" fillId="40" borderId="35" xfId="32" applyFont="1" applyFill="1" applyBorder="1" applyAlignment="1">
      <alignment horizontal="center" vertical="center" textRotation="90" wrapText="1"/>
    </xf>
    <xf numFmtId="0" fontId="75" fillId="40" borderId="34" xfId="32" applyFont="1" applyFill="1" applyBorder="1" applyAlignment="1">
      <alignment horizontal="center" vertical="center" textRotation="90" wrapText="1"/>
    </xf>
    <xf numFmtId="0" fontId="7" fillId="0" borderId="0" xfId="31" applyFont="1" applyAlignment="1">
      <alignment horizontal="center" wrapText="1"/>
    </xf>
    <xf numFmtId="0" fontId="12" fillId="0" borderId="0" xfId="0" applyFont="1" applyFill="1" applyAlignment="1">
      <alignment horizontal="center"/>
    </xf>
    <xf numFmtId="0" fontId="5" fillId="30" borderId="0" xfId="32" applyFont="1" applyFill="1" applyBorder="1" applyAlignment="1">
      <alignment horizontal="right" vertical="center"/>
    </xf>
    <xf numFmtId="0" fontId="33" fillId="40" borderId="49" xfId="31" applyFont="1" applyFill="1" applyBorder="1" applyAlignment="1">
      <alignment horizontal="center" vertical="center" wrapText="1"/>
    </xf>
    <xf numFmtId="0" fontId="33" fillId="40" borderId="31" xfId="31" applyFont="1" applyFill="1" applyBorder="1" applyAlignment="1">
      <alignment horizontal="center" vertical="center" wrapText="1"/>
    </xf>
    <xf numFmtId="0" fontId="33" fillId="40" borderId="50" xfId="31" applyFont="1" applyFill="1" applyBorder="1" applyAlignment="1">
      <alignment horizontal="center" vertical="center" wrapText="1"/>
    </xf>
    <xf numFmtId="0" fontId="33" fillId="40" borderId="44" xfId="31" applyFont="1" applyFill="1" applyBorder="1" applyAlignment="1">
      <alignment horizontal="center" vertical="center" wrapText="1"/>
    </xf>
    <xf numFmtId="0" fontId="33" fillId="40" borderId="75" xfId="31" applyFont="1" applyFill="1" applyBorder="1" applyAlignment="1">
      <alignment horizontal="center" vertical="center"/>
    </xf>
    <xf numFmtId="0" fontId="33" fillId="40" borderId="56" xfId="31" applyFont="1" applyFill="1" applyBorder="1" applyAlignment="1">
      <alignment horizontal="center" vertical="center"/>
    </xf>
    <xf numFmtId="0" fontId="4" fillId="0" borderId="49" xfId="31" applyFont="1" applyFill="1" applyBorder="1" applyAlignment="1">
      <alignment horizontal="center"/>
    </xf>
    <xf numFmtId="0" fontId="4" fillId="0" borderId="52" xfId="31" applyFont="1" applyFill="1" applyBorder="1" applyAlignment="1">
      <alignment horizontal="center"/>
    </xf>
    <xf numFmtId="0" fontId="33" fillId="40" borderId="74" xfId="31" applyFont="1" applyFill="1" applyBorder="1" applyAlignment="1">
      <alignment horizontal="center" vertical="center"/>
    </xf>
    <xf numFmtId="0" fontId="33" fillId="40" borderId="78" xfId="31" applyFont="1" applyFill="1" applyBorder="1" applyAlignment="1">
      <alignment horizontal="center" vertical="center"/>
    </xf>
    <xf numFmtId="0" fontId="33" fillId="40" borderId="75" xfId="49" applyFont="1" applyFill="1" applyBorder="1" applyAlignment="1">
      <alignment horizontal="center" vertical="center"/>
    </xf>
    <xf numFmtId="0" fontId="33" fillId="40" borderId="73" xfId="49" applyFont="1" applyFill="1" applyBorder="1" applyAlignment="1">
      <alignment horizontal="center" vertical="center"/>
    </xf>
    <xf numFmtId="0" fontId="33" fillId="40" borderId="76" xfId="49" applyFont="1" applyFill="1" applyBorder="1" applyAlignment="1">
      <alignment horizontal="center" vertical="center"/>
    </xf>
    <xf numFmtId="0" fontId="13" fillId="40" borderId="0" xfId="31" applyFont="1" applyFill="1" applyBorder="1" applyAlignment="1">
      <alignment horizontal="center" wrapText="1"/>
    </xf>
    <xf numFmtId="0" fontId="13" fillId="40" borderId="20" xfId="31" applyFont="1" applyFill="1" applyBorder="1" applyAlignment="1">
      <alignment horizontal="center" wrapText="1"/>
    </xf>
    <xf numFmtId="0" fontId="33" fillId="40" borderId="72" xfId="49" applyFont="1" applyFill="1" applyBorder="1" applyAlignment="1">
      <alignment horizontal="center" vertical="center"/>
    </xf>
    <xf numFmtId="0" fontId="33" fillId="40" borderId="74" xfId="49" applyFont="1" applyFill="1" applyBorder="1" applyAlignment="1">
      <alignment horizontal="center" vertical="center"/>
    </xf>
    <xf numFmtId="0" fontId="36" fillId="29" borderId="0" xfId="0" applyFont="1" applyFill="1" applyAlignment="1">
      <alignment vertical="center" wrapText="1"/>
    </xf>
    <xf numFmtId="0" fontId="4" fillId="0" borderId="75" xfId="31" applyFont="1" applyFill="1" applyBorder="1" applyAlignment="1">
      <alignment horizontal="center"/>
    </xf>
    <xf numFmtId="0" fontId="13" fillId="29" borderId="0" xfId="0" applyFont="1" applyFill="1" applyAlignment="1">
      <alignment horizontal="left" indent="1"/>
    </xf>
    <xf numFmtId="0" fontId="33" fillId="40" borderId="36" xfId="31" applyFont="1" applyFill="1" applyBorder="1" applyAlignment="1">
      <alignment horizontal="center" vertical="center" wrapText="1"/>
    </xf>
    <xf numFmtId="0" fontId="33" fillId="40" borderId="42" xfId="31" applyFont="1" applyFill="1" applyBorder="1" applyAlignment="1">
      <alignment horizontal="center" vertical="center" wrapText="1"/>
    </xf>
    <xf numFmtId="0" fontId="33" fillId="40" borderId="45" xfId="31" applyFont="1" applyFill="1" applyBorder="1" applyAlignment="1">
      <alignment horizontal="center" vertical="center" wrapText="1"/>
    </xf>
    <xf numFmtId="0" fontId="33" fillId="40" borderId="58" xfId="31" applyFont="1" applyFill="1" applyBorder="1" applyAlignment="1">
      <alignment horizontal="center" vertical="center" wrapText="1"/>
    </xf>
    <xf numFmtId="0" fontId="33" fillId="40" borderId="46" xfId="31" applyFont="1" applyFill="1" applyBorder="1" applyAlignment="1">
      <alignment horizontal="center" vertical="center" wrapText="1"/>
    </xf>
    <xf numFmtId="0" fontId="33" fillId="40" borderId="35" xfId="31" applyFont="1" applyFill="1" applyBorder="1" applyAlignment="1">
      <alignment horizontal="center" vertical="center" wrapText="1"/>
    </xf>
    <xf numFmtId="0" fontId="33" fillId="40" borderId="34" xfId="31" applyFont="1" applyFill="1" applyBorder="1" applyAlignment="1">
      <alignment horizontal="center" vertical="center" wrapText="1"/>
    </xf>
    <xf numFmtId="0" fontId="36" fillId="29" borderId="0" xfId="0" applyFont="1" applyFill="1" applyAlignment="1">
      <alignment vertical="center"/>
    </xf>
    <xf numFmtId="0" fontId="33" fillId="40" borderId="13" xfId="31" applyFont="1" applyFill="1" applyBorder="1" applyAlignment="1">
      <alignment horizontal="center" vertical="center" wrapText="1"/>
    </xf>
    <xf numFmtId="0" fontId="33" fillId="40" borderId="4" xfId="31" applyFont="1" applyFill="1" applyBorder="1" applyAlignment="1">
      <alignment horizontal="center" vertical="center" wrapText="1"/>
    </xf>
    <xf numFmtId="0" fontId="33" fillId="40" borderId="68" xfId="31" applyFont="1" applyFill="1" applyBorder="1" applyAlignment="1">
      <alignment horizontal="center" vertical="center" wrapText="1"/>
    </xf>
    <xf numFmtId="0" fontId="36" fillId="30" borderId="0" xfId="49" applyFont="1" applyFill="1" applyAlignment="1">
      <alignment horizontal="left" vertical="center" wrapText="1"/>
    </xf>
    <xf numFmtId="0" fontId="36" fillId="30" borderId="0" xfId="49" applyFont="1" applyFill="1" applyAlignment="1">
      <alignment wrapText="1"/>
    </xf>
    <xf numFmtId="0" fontId="36" fillId="29" borderId="0" xfId="49" applyFont="1" applyFill="1" applyAlignment="1">
      <alignment wrapText="1"/>
    </xf>
    <xf numFmtId="0" fontId="36" fillId="30" borderId="0" xfId="49" applyFont="1" applyFill="1" applyAlignment="1">
      <alignment horizontal="left" wrapText="1"/>
    </xf>
    <xf numFmtId="0" fontId="134" fillId="30" borderId="90" xfId="49" applyFont="1" applyFill="1" applyBorder="1" applyAlignment="1">
      <alignment horizontal="center" wrapText="1"/>
    </xf>
    <xf numFmtId="0" fontId="135" fillId="0" borderId="91" xfId="0" applyFont="1" applyBorder="1" applyAlignment="1">
      <alignment horizontal="center" wrapText="1"/>
    </xf>
    <xf numFmtId="0" fontId="43" fillId="30" borderId="0" xfId="49" applyFont="1" applyFill="1" applyAlignment="1">
      <alignment horizontal="left" wrapText="1"/>
    </xf>
    <xf numFmtId="0" fontId="12" fillId="30" borderId="0" xfId="49" applyFont="1" applyFill="1" applyBorder="1" applyAlignment="1">
      <alignment horizontal="center" vertical="center" wrapText="1"/>
    </xf>
    <xf numFmtId="0" fontId="7" fillId="30" borderId="0" xfId="49" applyFont="1" applyFill="1" applyAlignment="1">
      <alignment horizontal="center" wrapText="1"/>
    </xf>
    <xf numFmtId="0" fontId="33" fillId="40" borderId="40" xfId="49" applyFont="1" applyFill="1" applyBorder="1" applyAlignment="1">
      <alignment horizontal="center" vertical="center" wrapText="1"/>
    </xf>
    <xf numFmtId="0" fontId="33" fillId="40" borderId="42" xfId="49" applyFont="1" applyFill="1" applyBorder="1" applyAlignment="1">
      <alignment horizontal="center" vertical="center" wrapText="1"/>
    </xf>
    <xf numFmtId="0" fontId="33" fillId="40" borderId="11" xfId="49" applyFont="1" applyFill="1" applyBorder="1" applyAlignment="1">
      <alignment horizontal="center" vertical="center" wrapText="1"/>
    </xf>
    <xf numFmtId="0" fontId="33" fillId="40" borderId="41" xfId="49" applyFont="1" applyFill="1" applyBorder="1" applyAlignment="1">
      <alignment horizontal="center" vertical="center" wrapText="1"/>
    </xf>
    <xf numFmtId="0" fontId="33" fillId="40" borderId="35" xfId="49" applyFont="1" applyFill="1" applyBorder="1" applyAlignment="1">
      <alignment horizontal="center" vertical="center" wrapText="1"/>
    </xf>
    <xf numFmtId="0" fontId="33" fillId="40" borderId="34" xfId="49" applyFont="1" applyFill="1" applyBorder="1" applyAlignment="1">
      <alignment horizontal="center" vertical="center" wrapText="1"/>
    </xf>
    <xf numFmtId="0" fontId="12" fillId="30" borderId="0" xfId="49" applyFont="1" applyFill="1" applyBorder="1" applyAlignment="1">
      <alignment horizontal="center" vertical="center"/>
    </xf>
    <xf numFmtId="0" fontId="103" fillId="30" borderId="90" xfId="49" applyFont="1" applyFill="1" applyBorder="1" applyAlignment="1">
      <alignment horizontal="center" wrapText="1"/>
    </xf>
    <xf numFmtId="0" fontId="0" fillId="0" borderId="91" xfId="0" applyBorder="1" applyAlignment="1">
      <alignment horizontal="center"/>
    </xf>
    <xf numFmtId="0" fontId="33" fillId="40" borderId="40" xfId="49" applyFont="1" applyFill="1" applyBorder="1" applyAlignment="1">
      <alignment horizontal="center" vertical="center"/>
    </xf>
    <xf numFmtId="0" fontId="33" fillId="40" borderId="42" xfId="49" applyFont="1" applyFill="1" applyBorder="1" applyAlignment="1">
      <alignment horizontal="center" vertical="center"/>
    </xf>
    <xf numFmtId="0" fontId="33" fillId="40" borderId="11" xfId="49" applyFont="1" applyFill="1" applyBorder="1" applyAlignment="1">
      <alignment horizontal="center" vertical="center"/>
    </xf>
    <xf numFmtId="0" fontId="33" fillId="40" borderId="41" xfId="49" applyFont="1" applyFill="1" applyBorder="1" applyAlignment="1">
      <alignment horizontal="center" vertical="center"/>
    </xf>
    <xf numFmtId="0" fontId="13" fillId="40" borderId="1" xfId="49" applyFont="1" applyFill="1" applyBorder="1" applyAlignment="1">
      <alignment horizontal="center" vertical="center"/>
    </xf>
    <xf numFmtId="0" fontId="13" fillId="40" borderId="8" xfId="49" applyFont="1" applyFill="1" applyBorder="1" applyAlignment="1">
      <alignment horizontal="center" vertical="center"/>
    </xf>
    <xf numFmtId="0" fontId="13" fillId="40" borderId="3" xfId="49" applyFont="1" applyFill="1" applyBorder="1" applyAlignment="1">
      <alignment horizontal="center" vertical="center"/>
    </xf>
    <xf numFmtId="0" fontId="13" fillId="40" borderId="40" xfId="49" applyFont="1" applyFill="1" applyBorder="1" applyAlignment="1">
      <alignment horizontal="center" vertical="center"/>
    </xf>
    <xf numFmtId="0" fontId="13" fillId="40" borderId="42"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xf>
    <xf numFmtId="0" fontId="13" fillId="40" borderId="11" xfId="49" applyFont="1" applyFill="1" applyBorder="1" applyAlignment="1">
      <alignment horizontal="center" vertical="center"/>
    </xf>
    <xf numFmtId="0" fontId="13" fillId="40" borderId="41" xfId="49" applyFont="1" applyFill="1" applyBorder="1" applyAlignment="1">
      <alignment horizontal="center" vertical="center"/>
    </xf>
    <xf numFmtId="0" fontId="36" fillId="0" borderId="0" xfId="49" applyFont="1" applyFill="1" applyAlignment="1">
      <alignment horizontal="left" wrapText="1"/>
    </xf>
    <xf numFmtId="0" fontId="36" fillId="0" borderId="0" xfId="49" applyFont="1" applyFill="1" applyAlignment="1">
      <alignment horizontal="left"/>
    </xf>
    <xf numFmtId="0" fontId="20" fillId="0" borderId="0" xfId="0" applyFont="1" applyFill="1" applyAlignment="1">
      <alignment horizontal="left"/>
    </xf>
    <xf numFmtId="0" fontId="45" fillId="30" borderId="0" xfId="49" applyFont="1" applyFill="1" applyBorder="1" applyAlignment="1" applyProtection="1">
      <alignment horizontal="left" wrapText="1"/>
    </xf>
    <xf numFmtId="0" fontId="33" fillId="26" borderId="1" xfId="49" applyFont="1" applyFill="1" applyBorder="1" applyAlignment="1" applyProtection="1">
      <alignment horizontal="center" vertical="center" wrapText="1"/>
    </xf>
    <xf numFmtId="0" fontId="33" fillId="26" borderId="3" xfId="49" applyFont="1" applyFill="1" applyBorder="1" applyAlignment="1" applyProtection="1">
      <alignment horizontal="center" vertical="center" wrapText="1"/>
    </xf>
    <xf numFmtId="2" fontId="33" fillId="40" borderId="75" xfId="49" applyNumberFormat="1" applyFont="1" applyFill="1" applyBorder="1" applyAlignment="1" applyProtection="1">
      <alignment horizontal="center" vertical="center" wrapText="1"/>
    </xf>
    <xf numFmtId="2" fontId="33" fillId="40" borderId="73" xfId="49" applyNumberFormat="1" applyFont="1" applyFill="1" applyBorder="1" applyAlignment="1" applyProtection="1">
      <alignment horizontal="center" vertical="center" wrapText="1"/>
    </xf>
    <xf numFmtId="2" fontId="33" fillId="40" borderId="76" xfId="49" applyNumberFormat="1" applyFont="1" applyFill="1" applyBorder="1" applyAlignment="1" applyProtection="1">
      <alignment horizontal="center" vertical="center" wrapText="1"/>
    </xf>
    <xf numFmtId="0" fontId="33" fillId="40" borderId="72" xfId="49" applyFont="1" applyFill="1" applyBorder="1" applyAlignment="1" applyProtection="1">
      <alignment horizontal="center" vertical="center" wrapText="1"/>
    </xf>
    <xf numFmtId="0" fontId="33" fillId="40" borderId="73" xfId="49" applyFont="1" applyFill="1" applyBorder="1" applyAlignment="1" applyProtection="1">
      <alignment horizontal="center" vertical="center" wrapText="1"/>
    </xf>
    <xf numFmtId="0" fontId="33" fillId="40" borderId="76" xfId="49" applyFont="1" applyFill="1" applyBorder="1" applyAlignment="1" applyProtection="1">
      <alignment horizontal="center" vertical="center" wrapText="1"/>
    </xf>
    <xf numFmtId="0" fontId="33" fillId="40" borderId="75" xfId="49" applyFont="1" applyFill="1" applyBorder="1" applyAlignment="1" applyProtection="1">
      <alignment horizontal="center" vertical="center" wrapText="1"/>
    </xf>
    <xf numFmtId="0" fontId="33" fillId="40" borderId="35" xfId="49" applyFont="1" applyFill="1" applyBorder="1" applyAlignment="1" applyProtection="1">
      <alignment horizontal="center" vertical="center"/>
    </xf>
    <xf numFmtId="0" fontId="33" fillId="40" borderId="34" xfId="49" applyFont="1" applyFill="1" applyBorder="1" applyAlignment="1" applyProtection="1">
      <alignment horizontal="center" vertical="center"/>
    </xf>
    <xf numFmtId="0" fontId="34" fillId="40" borderId="52" xfId="49" applyFont="1" applyFill="1" applyBorder="1" applyProtection="1"/>
    <xf numFmtId="0" fontId="34" fillId="40" borderId="56" xfId="49" applyFont="1" applyFill="1" applyBorder="1" applyProtection="1"/>
    <xf numFmtId="0" fontId="34" fillId="40" borderId="62" xfId="49" applyFont="1" applyFill="1" applyBorder="1" applyProtection="1"/>
    <xf numFmtId="0" fontId="34" fillId="40" borderId="78" xfId="49" applyFont="1" applyFill="1" applyBorder="1" applyProtection="1"/>
    <xf numFmtId="0" fontId="33" fillId="40" borderId="40" xfId="49" applyFont="1" applyFill="1" applyBorder="1" applyAlignment="1" applyProtection="1">
      <alignment horizontal="center" vertical="center" wrapText="1"/>
    </xf>
    <xf numFmtId="0" fontId="33" fillId="40" borderId="11" xfId="49" applyFont="1" applyFill="1" applyBorder="1" applyAlignment="1" applyProtection="1">
      <alignment horizontal="center" vertical="center" wrapText="1"/>
    </xf>
    <xf numFmtId="0" fontId="33" fillId="40" borderId="41" xfId="49" applyFont="1" applyFill="1" applyBorder="1" applyAlignment="1" applyProtection="1">
      <alignment horizontal="center" vertical="center" wrapText="1"/>
    </xf>
    <xf numFmtId="0" fontId="33" fillId="40" borderId="42" xfId="49" applyFont="1" applyFill="1" applyBorder="1" applyAlignment="1" applyProtection="1">
      <alignment horizontal="center" vertical="center" wrapText="1"/>
    </xf>
    <xf numFmtId="0" fontId="33" fillId="40" borderId="20" xfId="49" applyFont="1" applyFill="1" applyBorder="1" applyAlignment="1" applyProtection="1">
      <alignment horizontal="center" vertical="center" wrapText="1"/>
    </xf>
    <xf numFmtId="0" fontId="33" fillId="40" borderId="43" xfId="49" applyFont="1" applyFill="1" applyBorder="1" applyAlignment="1" applyProtection="1">
      <alignment horizontal="center" vertical="center" wrapText="1"/>
    </xf>
    <xf numFmtId="2" fontId="33" fillId="40" borderId="1" xfId="49" applyNumberFormat="1" applyFont="1" applyFill="1" applyBorder="1" applyAlignment="1" applyProtection="1">
      <alignment horizontal="center" vertical="center" wrapText="1"/>
    </xf>
    <xf numFmtId="2" fontId="33" fillId="40" borderId="8" xfId="49" applyNumberFormat="1" applyFont="1" applyFill="1" applyBorder="1" applyAlignment="1" applyProtection="1">
      <alignment horizontal="center" vertical="center" wrapText="1"/>
    </xf>
    <xf numFmtId="2" fontId="33" fillId="40" borderId="3" xfId="49" applyNumberFormat="1" applyFont="1" applyFill="1" applyBorder="1" applyAlignment="1" applyProtection="1">
      <alignment horizontal="center" vertical="center" wrapText="1"/>
    </xf>
    <xf numFmtId="0" fontId="33" fillId="40" borderId="1" xfId="49" applyFont="1" applyFill="1" applyBorder="1" applyAlignment="1" applyProtection="1">
      <alignment horizontal="center" vertical="center" wrapText="1"/>
    </xf>
    <xf numFmtId="0" fontId="33" fillId="40" borderId="8" xfId="49" applyFont="1" applyFill="1" applyBorder="1" applyAlignment="1" applyProtection="1">
      <alignment horizontal="center" vertical="center" wrapText="1"/>
    </xf>
    <xf numFmtId="0" fontId="33" fillId="40" borderId="3" xfId="49" applyFont="1" applyFill="1" applyBorder="1" applyAlignment="1" applyProtection="1">
      <alignment horizontal="center" vertical="center" wrapText="1"/>
    </xf>
    <xf numFmtId="0" fontId="7" fillId="30" borderId="0" xfId="49" applyFont="1" applyFill="1" applyAlignment="1" applyProtection="1">
      <alignment horizontal="center" wrapText="1"/>
    </xf>
    <xf numFmtId="0" fontId="12" fillId="30" borderId="0" xfId="49" applyFont="1" applyFill="1" applyBorder="1" applyAlignment="1">
      <alignment horizontal="center"/>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2" fontId="33" fillId="40" borderId="45" xfId="49" applyNumberFormat="1" applyFont="1" applyFill="1" applyBorder="1" applyAlignment="1" applyProtection="1">
      <alignment horizontal="center" vertical="center" wrapText="1"/>
    </xf>
    <xf numFmtId="2" fontId="33" fillId="40" borderId="58" xfId="49" applyNumberFormat="1" applyFont="1" applyFill="1" applyBorder="1" applyAlignment="1" applyProtection="1">
      <alignment horizontal="center" vertical="center" wrapText="1"/>
    </xf>
    <xf numFmtId="2" fontId="33" fillId="40" borderId="46" xfId="49" applyNumberFormat="1" applyFont="1" applyFill="1" applyBorder="1" applyAlignment="1" applyProtection="1">
      <alignment horizontal="center" vertical="center" wrapText="1"/>
    </xf>
    <xf numFmtId="0" fontId="11" fillId="29" borderId="1" xfId="49" applyFont="1" applyFill="1" applyBorder="1" applyAlignment="1" applyProtection="1">
      <alignment horizontal="center" wrapText="1"/>
    </xf>
    <xf numFmtId="0" fontId="11" fillId="29" borderId="3" xfId="49" applyFont="1" applyFill="1" applyBorder="1" applyAlignment="1" applyProtection="1">
      <alignment horizontal="center" wrapText="1"/>
    </xf>
    <xf numFmtId="0" fontId="11" fillId="40" borderId="40" xfId="49" applyFont="1" applyFill="1" applyBorder="1" applyAlignment="1" applyProtection="1">
      <alignment horizontal="center" vertical="center" wrapText="1"/>
    </xf>
    <xf numFmtId="0" fontId="11" fillId="40" borderId="41" xfId="49" applyFont="1" applyFill="1" applyBorder="1" applyAlignment="1" applyProtection="1">
      <alignment horizontal="center" vertical="center" wrapText="1"/>
    </xf>
    <xf numFmtId="0" fontId="11" fillId="40" borderId="27" xfId="49" applyFont="1" applyFill="1" applyBorder="1" applyAlignment="1" applyProtection="1">
      <alignment horizontal="center" vertical="center" wrapText="1"/>
    </xf>
    <xf numFmtId="0" fontId="11" fillId="40" borderId="16" xfId="49" applyFont="1" applyFill="1" applyBorder="1" applyAlignment="1" applyProtection="1">
      <alignment horizontal="center" vertical="center" wrapText="1"/>
    </xf>
    <xf numFmtId="0" fontId="11" fillId="40" borderId="42" xfId="49" applyFont="1" applyFill="1" applyBorder="1" applyAlignment="1" applyProtection="1">
      <alignment horizontal="center" vertical="center" wrapText="1"/>
    </xf>
    <xf numFmtId="0" fontId="11" fillId="40" borderId="43" xfId="49" applyFont="1" applyFill="1" applyBorder="1" applyAlignment="1" applyProtection="1">
      <alignment horizontal="center" vertical="center" wrapText="1"/>
    </xf>
    <xf numFmtId="2" fontId="33" fillId="40" borderId="22" xfId="49" applyNumberFormat="1" applyFont="1" applyFill="1" applyBorder="1" applyAlignment="1" applyProtection="1">
      <alignment horizontal="center" vertical="center" wrapText="1"/>
    </xf>
    <xf numFmtId="0" fontId="28" fillId="30" borderId="0" xfId="49" applyFont="1" applyFill="1" applyAlignment="1">
      <alignment horizontal="left" vertical="top" wrapText="1"/>
    </xf>
    <xf numFmtId="0" fontId="28" fillId="30" borderId="0" xfId="49" applyFont="1" applyFill="1" applyAlignment="1">
      <alignment horizontal="left"/>
    </xf>
    <xf numFmtId="0" fontId="28" fillId="30" borderId="0" xfId="49" applyFont="1" applyFill="1" applyAlignment="1">
      <alignment horizontal="left" vertical="top"/>
    </xf>
    <xf numFmtId="174" fontId="33" fillId="26" borderId="1" xfId="49" applyNumberFormat="1" applyFont="1" applyFill="1" applyBorder="1" applyAlignment="1" applyProtection="1">
      <alignment horizontal="center" vertical="center" wrapText="1"/>
    </xf>
    <xf numFmtId="174" fontId="33" fillId="26" borderId="3" xfId="49" applyNumberFormat="1" applyFont="1" applyFill="1" applyBorder="1" applyAlignment="1" applyProtection="1">
      <alignment horizontal="center" vertical="center" wrapText="1"/>
    </xf>
    <xf numFmtId="170" fontId="33" fillId="40" borderId="75" xfId="49" applyNumberFormat="1" applyFont="1" applyFill="1" applyBorder="1" applyAlignment="1" applyProtection="1">
      <alignment horizontal="center"/>
    </xf>
    <xf numFmtId="170" fontId="33" fillId="40" borderId="76" xfId="49" applyNumberFormat="1" applyFont="1" applyFill="1" applyBorder="1" applyAlignment="1" applyProtection="1">
      <alignment horizontal="center"/>
    </xf>
    <xf numFmtId="170" fontId="33" fillId="40" borderId="72" xfId="49" applyNumberFormat="1" applyFont="1" applyFill="1" applyBorder="1" applyAlignment="1" applyProtection="1">
      <alignment horizontal="center"/>
    </xf>
    <xf numFmtId="170" fontId="33" fillId="40" borderId="74" xfId="49" applyNumberFormat="1" applyFont="1" applyFill="1" applyBorder="1" applyAlignment="1" applyProtection="1">
      <alignment horizontal="center"/>
    </xf>
    <xf numFmtId="0" fontId="116" fillId="40" borderId="76" xfId="49" applyFont="1" applyFill="1" applyBorder="1" applyAlignment="1">
      <alignment horizontal="center"/>
    </xf>
    <xf numFmtId="0" fontId="33" fillId="40" borderId="62" xfId="49" applyFont="1" applyFill="1" applyBorder="1" applyAlignment="1" applyProtection="1">
      <alignment horizontal="center" vertical="center" wrapText="1"/>
    </xf>
    <xf numFmtId="0" fontId="33" fillId="40" borderId="78" xfId="49" applyFont="1" applyFill="1" applyBorder="1" applyAlignment="1" applyProtection="1">
      <alignment horizontal="center" vertical="center" wrapText="1"/>
    </xf>
    <xf numFmtId="0" fontId="33" fillId="40" borderId="52" xfId="49" applyFont="1" applyFill="1" applyBorder="1" applyAlignment="1" applyProtection="1">
      <alignment horizontal="center" vertical="center" wrapText="1"/>
    </xf>
    <xf numFmtId="0" fontId="33" fillId="40" borderId="56" xfId="49" applyFont="1" applyFill="1" applyBorder="1" applyAlignment="1" applyProtection="1">
      <alignment horizontal="center" vertical="center" wrapText="1"/>
    </xf>
    <xf numFmtId="0" fontId="116" fillId="40" borderId="74" xfId="49" applyFont="1" applyFill="1" applyBorder="1" applyAlignment="1">
      <alignment horizontal="center"/>
    </xf>
    <xf numFmtId="0" fontId="95" fillId="30" borderId="0" xfId="49" applyFont="1" applyFill="1" applyAlignment="1" applyProtection="1">
      <alignment horizontal="center" wrapText="1"/>
    </xf>
    <xf numFmtId="0" fontId="95" fillId="30" borderId="0" xfId="49" applyFont="1" applyFill="1" applyBorder="1" applyAlignment="1">
      <alignment horizontal="center"/>
    </xf>
    <xf numFmtId="0" fontId="12" fillId="0" borderId="0" xfId="0" applyFont="1" applyFill="1" applyBorder="1" applyAlignment="1">
      <alignment horizontal="center"/>
    </xf>
    <xf numFmtId="0" fontId="7" fillId="0" borderId="0" xfId="0" applyFont="1" applyBorder="1" applyAlignment="1">
      <alignment horizontal="center" wrapText="1"/>
    </xf>
    <xf numFmtId="0" fontId="13" fillId="0" borderId="0" xfId="0" applyFont="1" applyAlignment="1">
      <alignment horizontal="left" indent="1"/>
    </xf>
    <xf numFmtId="0" fontId="36" fillId="0" borderId="0" xfId="0" applyFont="1" applyAlignment="1">
      <alignment horizontal="left" indent="1"/>
    </xf>
    <xf numFmtId="0" fontId="36" fillId="29" borderId="0" xfId="0" applyFont="1" applyFill="1" applyAlignment="1">
      <alignment horizontal="left" indent="1"/>
    </xf>
    <xf numFmtId="0" fontId="36" fillId="29" borderId="0" xfId="0" applyFont="1" applyFill="1" applyAlignment="1">
      <alignment horizontal="left"/>
    </xf>
    <xf numFmtId="0" fontId="13" fillId="30" borderId="0" xfId="0" applyFont="1" applyFill="1" applyAlignment="1">
      <alignment horizontal="left" indent="1"/>
    </xf>
    <xf numFmtId="0" fontId="36" fillId="30" borderId="0" xfId="0" applyFont="1" applyFill="1" applyAlignment="1">
      <alignment horizontal="left"/>
    </xf>
    <xf numFmtId="0" fontId="36" fillId="0" borderId="0" xfId="0" applyFont="1" applyFill="1" applyAlignment="1"/>
    <xf numFmtId="0" fontId="36" fillId="30" borderId="0" xfId="0" applyFont="1" applyFill="1" applyAlignment="1">
      <alignment horizontal="left" indent="1"/>
    </xf>
    <xf numFmtId="0" fontId="36" fillId="30" borderId="0" xfId="0" applyFont="1" applyFill="1" applyAlignment="1">
      <alignment horizontal="right" indent="1"/>
    </xf>
    <xf numFmtId="0" fontId="36" fillId="30" borderId="0" xfId="0" applyFont="1" applyFill="1" applyAlignment="1">
      <alignment horizontal="left" wrapText="1"/>
    </xf>
    <xf numFmtId="0" fontId="13" fillId="40" borderId="40" xfId="0" applyFont="1" applyFill="1" applyBorder="1" applyAlignment="1">
      <alignment horizontal="center" vertical="center"/>
    </xf>
    <xf numFmtId="0" fontId="13" fillId="40" borderId="11" xfId="0" applyFont="1" applyFill="1" applyBorder="1" applyAlignment="1">
      <alignment horizontal="center" vertical="center"/>
    </xf>
    <xf numFmtId="0" fontId="13" fillId="40" borderId="41" xfId="0" applyFont="1" applyFill="1" applyBorder="1" applyAlignment="1">
      <alignment horizontal="center" vertical="center"/>
    </xf>
    <xf numFmtId="0" fontId="40" fillId="40" borderId="45" xfId="0" applyFont="1" applyFill="1" applyBorder="1" applyAlignment="1" applyProtection="1">
      <alignment horizontal="center" vertical="center" wrapText="1"/>
    </xf>
    <xf numFmtId="0" fontId="40" fillId="40" borderId="47" xfId="0" applyFont="1" applyFill="1" applyBorder="1" applyAlignment="1" applyProtection="1">
      <alignment horizontal="center" vertical="center" wrapText="1"/>
    </xf>
    <xf numFmtId="0" fontId="40" fillId="40" borderId="46" xfId="0" applyFont="1" applyFill="1" applyBorder="1" applyAlignment="1">
      <alignment horizontal="center" vertical="center"/>
    </xf>
    <xf numFmtId="0" fontId="40" fillId="40" borderId="48" xfId="0" applyFont="1" applyFill="1" applyBorder="1" applyAlignment="1">
      <alignment horizontal="center" vertical="center"/>
    </xf>
    <xf numFmtId="0" fontId="40" fillId="40" borderId="40" xfId="0" applyFont="1" applyFill="1" applyBorder="1" applyAlignment="1" applyProtection="1">
      <alignment horizontal="center" vertical="center" wrapText="1"/>
    </xf>
    <xf numFmtId="0" fontId="40" fillId="40" borderId="42" xfId="0" applyFont="1" applyFill="1" applyBorder="1" applyAlignment="1" applyProtection="1">
      <alignment horizontal="center" vertical="center" wrapText="1"/>
    </xf>
    <xf numFmtId="0" fontId="7" fillId="0" borderId="0" xfId="0" applyFont="1" applyAlignment="1">
      <alignment horizontal="center"/>
    </xf>
    <xf numFmtId="0" fontId="11" fillId="0" borderId="0" xfId="0" applyNumberFormat="1" applyFont="1" applyFill="1" applyAlignment="1">
      <alignment horizontal="center"/>
    </xf>
    <xf numFmtId="0" fontId="40" fillId="40" borderId="75" xfId="0" applyFont="1" applyFill="1" applyBorder="1" applyAlignment="1">
      <alignment horizontal="center" vertical="center"/>
    </xf>
    <xf numFmtId="0" fontId="40" fillId="40" borderId="73" xfId="0" applyFont="1" applyFill="1" applyBorder="1" applyAlignment="1">
      <alignment horizontal="center" vertical="center"/>
    </xf>
    <xf numFmtId="0" fontId="40" fillId="40" borderId="76" xfId="0" applyFont="1" applyFill="1" applyBorder="1" applyAlignment="1">
      <alignment horizontal="center" vertical="center"/>
    </xf>
    <xf numFmtId="0" fontId="12" fillId="0" borderId="0" xfId="0" applyFont="1" applyAlignment="1">
      <alignment horizontal="center"/>
    </xf>
    <xf numFmtId="0" fontId="40" fillId="40" borderId="27" xfId="0" applyFont="1" applyFill="1" applyBorder="1" applyAlignment="1" applyProtection="1">
      <alignment horizontal="center" vertical="center" wrapText="1"/>
    </xf>
    <xf numFmtId="0" fontId="33" fillId="40" borderId="75" xfId="0" applyFont="1" applyFill="1" applyBorder="1" applyAlignment="1">
      <alignment horizontal="center" vertical="center"/>
    </xf>
    <xf numFmtId="0" fontId="33" fillId="40" borderId="54" xfId="0" applyFont="1" applyFill="1" applyBorder="1" applyAlignment="1">
      <alignment horizontal="center" vertical="center"/>
    </xf>
    <xf numFmtId="0" fontId="33" fillId="40" borderId="73" xfId="0" applyFont="1" applyFill="1" applyBorder="1" applyAlignment="1">
      <alignment horizontal="center" vertical="center"/>
    </xf>
    <xf numFmtId="0" fontId="33" fillId="40" borderId="63" xfId="0" applyFont="1" applyFill="1" applyBorder="1" applyAlignment="1">
      <alignment horizontal="center" vertical="center"/>
    </xf>
    <xf numFmtId="0" fontId="78" fillId="0" borderId="0" xfId="32" applyFont="1" applyFill="1" applyAlignment="1" applyProtection="1">
      <alignment horizontal="center" vertical="center"/>
    </xf>
    <xf numFmtId="0" fontId="78" fillId="0" borderId="0" xfId="32" applyFont="1" applyAlignment="1" applyProtection="1">
      <alignment horizontal="center" vertical="center"/>
    </xf>
    <xf numFmtId="0" fontId="85" fillId="0" borderId="0" xfId="32" applyNumberFormat="1" applyFont="1" applyFill="1" applyAlignment="1" applyProtection="1">
      <alignment horizontal="center" wrapText="1"/>
    </xf>
    <xf numFmtId="1" fontId="40" fillId="42" borderId="45" xfId="21" applyFont="1" applyFill="1" applyBorder="1" applyAlignment="1">
      <alignment horizontal="center" vertical="center" wrapText="1"/>
    </xf>
    <xf numFmtId="1" fontId="40" fillId="42" borderId="66" xfId="21" applyFont="1" applyFill="1" applyBorder="1" applyAlignment="1">
      <alignment horizontal="center" vertical="center" wrapText="1"/>
    </xf>
    <xf numFmtId="1" fontId="40" fillId="42" borderId="47" xfId="21" applyFont="1" applyFill="1" applyBorder="1" applyAlignment="1">
      <alignment horizontal="center" vertical="center" wrapText="1"/>
    </xf>
    <xf numFmtId="1" fontId="40" fillId="42" borderId="41" xfId="21" applyFont="1" applyFill="1" applyBorder="1" applyAlignment="1">
      <alignment horizontal="center" vertical="center" wrapText="1"/>
    </xf>
    <xf numFmtId="1" fontId="40" fillId="42" borderId="0" xfId="21" applyFont="1" applyFill="1" applyBorder="1" applyAlignment="1">
      <alignment horizontal="center" vertical="center" wrapText="1"/>
    </xf>
    <xf numFmtId="1" fontId="40" fillId="42" borderId="20" xfId="21" applyFont="1" applyFill="1" applyBorder="1" applyAlignment="1">
      <alignment horizontal="center" vertical="center" wrapText="1"/>
    </xf>
    <xf numFmtId="0" fontId="40" fillId="40" borderId="40" xfId="32" applyFont="1" applyFill="1" applyBorder="1" applyAlignment="1">
      <alignment horizontal="center" vertical="center"/>
    </xf>
    <xf numFmtId="0" fontId="40" fillId="40" borderId="11" xfId="32" applyFont="1" applyFill="1" applyBorder="1" applyAlignment="1">
      <alignment horizontal="center" vertical="center"/>
    </xf>
    <xf numFmtId="0" fontId="40" fillId="40" borderId="41" xfId="32" applyFont="1" applyFill="1" applyBorder="1" applyAlignment="1">
      <alignment horizontal="center" vertical="center"/>
    </xf>
    <xf numFmtId="0" fontId="40" fillId="40" borderId="75" xfId="32" applyFont="1" applyFill="1" applyBorder="1" applyAlignment="1">
      <alignment horizontal="center" vertical="center"/>
    </xf>
    <xf numFmtId="0" fontId="40" fillId="40" borderId="73" xfId="32" applyFont="1" applyFill="1" applyBorder="1" applyAlignment="1">
      <alignment horizontal="center" vertical="center"/>
    </xf>
    <xf numFmtId="0" fontId="40" fillId="40" borderId="76" xfId="32" applyFont="1" applyFill="1" applyBorder="1" applyAlignment="1">
      <alignment horizontal="center" vertical="center"/>
    </xf>
    <xf numFmtId="0" fontId="7" fillId="0" borderId="0" xfId="0" applyFont="1" applyAlignment="1" applyProtection="1">
      <alignment horizontal="center" vertical="center"/>
    </xf>
    <xf numFmtId="0" fontId="7" fillId="21" borderId="0" xfId="0" applyFont="1" applyFill="1" applyAlignment="1" applyProtection="1">
      <alignment horizontal="center" vertical="center"/>
    </xf>
    <xf numFmtId="0" fontId="55" fillId="0" borderId="0" xfId="0" applyNumberFormat="1" applyFont="1" applyFill="1" applyAlignment="1" applyProtection="1">
      <alignment horizontal="center" wrapText="1"/>
    </xf>
    <xf numFmtId="0" fontId="36" fillId="30" borderId="0" xfId="0" applyFont="1" applyFill="1" applyAlignment="1">
      <alignment wrapText="1"/>
    </xf>
    <xf numFmtId="0" fontId="7" fillId="0" borderId="0" xfId="40" applyFont="1" applyAlignment="1" applyProtection="1">
      <alignment horizontal="center" vertical="center"/>
    </xf>
    <xf numFmtId="0" fontId="7" fillId="21" borderId="0" xfId="40" applyFont="1" applyFill="1" applyAlignment="1" applyProtection="1">
      <alignment horizontal="center"/>
    </xf>
    <xf numFmtId="0" fontId="11" fillId="0" borderId="0" xfId="0" applyNumberFormat="1" applyFont="1" applyFill="1" applyAlignment="1" applyProtection="1">
      <alignment horizontal="center" wrapText="1"/>
    </xf>
    <xf numFmtId="0" fontId="7" fillId="0" borderId="0" xfId="0" applyFont="1" applyFill="1" applyAlignment="1">
      <alignment horizontal="center" vertical="center"/>
    </xf>
    <xf numFmtId="0" fontId="7" fillId="0" borderId="0" xfId="0" applyFont="1" applyAlignment="1">
      <alignment horizontal="center" vertical="center"/>
    </xf>
    <xf numFmtId="0" fontId="11" fillId="0" borderId="0" xfId="0" applyNumberFormat="1" applyFont="1" applyAlignment="1">
      <alignment horizontal="center" vertical="center"/>
    </xf>
    <xf numFmtId="0" fontId="33" fillId="40" borderId="75" xfId="0" applyFont="1" applyFill="1" applyBorder="1" applyAlignment="1" applyProtection="1">
      <alignment horizontal="center" vertical="center" wrapText="1"/>
    </xf>
    <xf numFmtId="0" fontId="33" fillId="40" borderId="73" xfId="0" applyFont="1" applyFill="1" applyBorder="1" applyAlignment="1" applyProtection="1">
      <alignment horizontal="center" vertical="center" wrapText="1"/>
    </xf>
    <xf numFmtId="0" fontId="33" fillId="40" borderId="76" xfId="0" applyFont="1" applyFill="1" applyBorder="1" applyAlignment="1" applyProtection="1">
      <alignment horizontal="center" vertical="center" wrapText="1"/>
    </xf>
    <xf numFmtId="0" fontId="33" fillId="40" borderId="35" xfId="0" applyFont="1" applyFill="1" applyBorder="1" applyAlignment="1">
      <alignment horizontal="center" vertical="center"/>
    </xf>
    <xf numFmtId="0" fontId="33" fillId="40" borderId="34" xfId="0" applyFont="1" applyFill="1" applyBorder="1" applyAlignment="1">
      <alignment horizontal="center" vertical="center"/>
    </xf>
    <xf numFmtId="0" fontId="70" fillId="23" borderId="63" xfId="32" applyFont="1" applyFill="1" applyBorder="1" applyAlignment="1" applyProtection="1">
      <alignment horizontal="center" vertical="center" wrapText="1"/>
    </xf>
    <xf numFmtId="0" fontId="70" fillId="23" borderId="4" xfId="32" applyFont="1" applyFill="1" applyBorder="1" applyAlignment="1" applyProtection="1">
      <alignment horizontal="center" vertical="center" wrapText="1"/>
    </xf>
    <xf numFmtId="0" fontId="70" fillId="23" borderId="31" xfId="32" applyFont="1" applyFill="1" applyBorder="1" applyAlignment="1" applyProtection="1">
      <alignment horizontal="center" vertical="center" wrapText="1"/>
    </xf>
    <xf numFmtId="0" fontId="70" fillId="24" borderId="63" xfId="32" applyFont="1" applyFill="1" applyBorder="1" applyAlignment="1" applyProtection="1">
      <alignment horizontal="center" vertical="center" wrapText="1"/>
    </xf>
    <xf numFmtId="0" fontId="70" fillId="24" borderId="4" xfId="32" applyFont="1" applyFill="1" applyBorder="1" applyAlignment="1" applyProtection="1">
      <alignment horizontal="center" vertical="center" wrapText="1"/>
    </xf>
    <xf numFmtId="0" fontId="70" fillId="24" borderId="31" xfId="32" applyFont="1" applyFill="1" applyBorder="1" applyAlignment="1" applyProtection="1">
      <alignment horizontal="center" vertical="center" wrapText="1"/>
    </xf>
    <xf numFmtId="0" fontId="4" fillId="30" borderId="63" xfId="32" applyFont="1" applyFill="1" applyBorder="1" applyAlignment="1" applyProtection="1">
      <alignment horizontal="left" vertical="center" wrapText="1"/>
    </xf>
    <xf numFmtId="0" fontId="4" fillId="30" borderId="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30" borderId="63" xfId="32" applyFont="1" applyFill="1" applyBorder="1" applyAlignment="1" applyProtection="1">
      <alignment horizontal="left" vertical="top" wrapText="1"/>
    </xf>
    <xf numFmtId="0" fontId="4" fillId="30" borderId="4" xfId="32" applyFont="1" applyFill="1" applyBorder="1" applyAlignment="1" applyProtection="1">
      <alignment horizontal="left" vertical="top" wrapText="1"/>
    </xf>
    <xf numFmtId="0" fontId="4" fillId="30" borderId="31" xfId="32" applyFont="1" applyFill="1" applyBorder="1" applyAlignment="1" applyProtection="1">
      <alignment horizontal="left" vertical="top" wrapText="1"/>
    </xf>
    <xf numFmtId="0" fontId="4" fillId="30" borderId="63" xfId="32" applyFont="1" applyFill="1" applyBorder="1" applyAlignment="1" applyProtection="1">
      <alignment horizontal="center" vertical="center" wrapText="1"/>
    </xf>
    <xf numFmtId="0" fontId="4" fillId="30" borderId="4" xfId="32" applyFont="1" applyFill="1" applyBorder="1" applyAlignment="1" applyProtection="1">
      <alignment horizontal="center" vertical="center" wrapText="1"/>
    </xf>
    <xf numFmtId="0" fontId="4" fillId="30" borderId="31" xfId="32" applyFont="1" applyFill="1" applyBorder="1" applyAlignment="1" applyProtection="1">
      <alignment horizontal="center" vertical="center" wrapText="1"/>
    </xf>
    <xf numFmtId="0" fontId="4" fillId="29" borderId="4" xfId="32" applyFont="1" applyFill="1" applyBorder="1" applyAlignment="1" applyProtection="1">
      <alignment horizontal="center" wrapText="1"/>
    </xf>
    <xf numFmtId="0" fontId="4" fillId="29" borderId="31" xfId="32" applyFont="1" applyFill="1" applyBorder="1" applyAlignment="1" applyProtection="1">
      <alignment horizontal="center" wrapText="1"/>
    </xf>
  </cellXfs>
  <cellStyles count="56">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2" xfId="44"/>
    <cellStyle name="Comma 2 2" xfId="48"/>
    <cellStyle name="Comma 3" xfId="46"/>
    <cellStyle name="Emphasis 1" xfId="24"/>
    <cellStyle name="Emphasis 2" xfId="25"/>
    <cellStyle name="Emphasis 3" xfId="26"/>
    <cellStyle name="Green" xfId="27"/>
    <cellStyle name="Grey" xfId="28"/>
    <cellStyle name="Hyperlink 2" xfId="29"/>
    <cellStyle name="Koloni" xfId="30"/>
    <cellStyle name="Normal 2" xfId="31"/>
    <cellStyle name="Normal 3" xfId="32"/>
    <cellStyle name="Normal 4" xfId="45"/>
    <cellStyle name="Normal 5" xfId="49"/>
    <cellStyle name="Normal 6" xfId="52"/>
    <cellStyle name="Normal 6 2" xfId="54"/>
    <cellStyle name="Normal 7" xfId="53"/>
    <cellStyle name="Normal_Lov_Forms_DKER" xfId="42"/>
    <cellStyle name="Normal_Model_2005_Sofia_DKER_3" xfId="40"/>
    <cellStyle name="Normal_Pazardjik_2_bo_groups" xfId="43"/>
    <cellStyle name="Normal_Sheet1_1" xfId="47"/>
    <cellStyle name="Percent 2" xfId="33"/>
    <cellStyle name="Percent 3" xfId="34"/>
    <cellStyle name="Percent 4" xfId="35"/>
    <cellStyle name="Percent 5" xfId="41"/>
    <cellStyle name="Percent 6" xfId="50"/>
    <cellStyle name="Percent 7" xfId="51"/>
    <cellStyle name="Sheet Title" xfId="36"/>
    <cellStyle name="White" xfId="37"/>
    <cellStyle name="Zaglavie" xfId="38"/>
    <cellStyle name="Запетая" xfId="55" builtinId="3"/>
    <cellStyle name="Нормален" xfId="0" builtinId="0"/>
    <cellStyle name="Нормален 3" xfId="39"/>
    <cellStyle name="Процент" xfId="1" builtinId="5"/>
    <cellStyle name="Хипервръзка" xfId="2" builtinId="8"/>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FF7C80"/>
      <color rgb="FF3399FF"/>
      <color rgb="FFCCFFFF"/>
      <color rgb="FFBCF6C6"/>
      <color rgb="FFEAEAEA"/>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ker.bg/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ker.bg/Documents%20and%20Settings/dk-kpeev/Desktop/UKAZANIQ/BP/Model_BP_Prilojeni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K65"/>
  <sheetViews>
    <sheetView showGridLines="0" view="pageBreakPreview" zoomScaleNormal="90" zoomScaleSheetLayoutView="100" workbookViewId="0">
      <selection activeCell="G22" sqref="G22:J22"/>
    </sheetView>
  </sheetViews>
  <sheetFormatPr defaultRowHeight="15.75"/>
  <cols>
    <col min="1" max="1" width="4.140625" style="134" customWidth="1"/>
    <col min="2" max="2" width="7.5703125" style="134" customWidth="1"/>
    <col min="3" max="3" width="8.42578125" style="134" customWidth="1"/>
    <col min="4" max="4" width="6.5703125" style="134" customWidth="1"/>
    <col min="5" max="5" width="7.42578125" style="134" customWidth="1"/>
    <col min="6" max="6" width="21.7109375" style="134" customWidth="1"/>
    <col min="7" max="7" width="20.7109375" style="134" customWidth="1"/>
    <col min="8" max="8" width="27.140625" style="134" customWidth="1"/>
    <col min="9" max="9" width="25.28515625" style="134" customWidth="1"/>
    <col min="10" max="10" width="30.5703125" style="134" customWidth="1"/>
    <col min="11" max="11" width="15.28515625" style="134" customWidth="1"/>
    <col min="12" max="12" width="19" style="134" customWidth="1"/>
    <col min="13" max="13" width="21.140625" style="134" bestFit="1" customWidth="1"/>
    <col min="14" max="14" width="15" style="134" customWidth="1"/>
    <col min="15" max="16384" width="9.140625" style="134"/>
  </cols>
  <sheetData>
    <row r="2" spans="1:11" ht="26.25" customHeight="1">
      <c r="A2" s="3286" t="s">
        <v>93</v>
      </c>
      <c r="B2" s="3286"/>
      <c r="C2" s="3286"/>
      <c r="D2" s="3286"/>
      <c r="E2" s="3286"/>
      <c r="F2" s="3286"/>
      <c r="G2" s="3286"/>
      <c r="H2" s="3286"/>
      <c r="I2" s="3286"/>
      <c r="J2" s="3286"/>
      <c r="K2" s="133"/>
    </row>
    <row r="3" spans="1:11" ht="15" customHeight="1">
      <c r="A3" s="3287" t="str">
        <f>"на "&amp;G8&amp;", гр. "&amp;G9</f>
        <v>на "Водоснабдяване и канализация" ЕООД , гр. Благоевград</v>
      </c>
      <c r="B3" s="3287"/>
      <c r="C3" s="3287"/>
      <c r="D3" s="3287"/>
      <c r="E3" s="3287"/>
      <c r="F3" s="3287"/>
      <c r="G3" s="3287"/>
      <c r="H3" s="3287"/>
      <c r="I3" s="3287"/>
      <c r="J3" s="3287"/>
      <c r="K3" s="135"/>
    </row>
    <row r="4" spans="1:11" ht="15" customHeight="1">
      <c r="A4" s="3287" t="str">
        <f>"ЕИК по БУЛСТАТ: " &amp;G10</f>
        <v>ЕИК по БУЛСТАТ: 811047831</v>
      </c>
      <c r="B4" s="3287"/>
      <c r="C4" s="3287"/>
      <c r="D4" s="3287"/>
      <c r="E4" s="3287"/>
      <c r="F4" s="3287"/>
      <c r="G4" s="3287"/>
      <c r="H4" s="3287"/>
      <c r="I4" s="3287"/>
      <c r="J4" s="3287"/>
      <c r="K4" s="135"/>
    </row>
    <row r="5" spans="1:11" ht="16.5" thickBot="1"/>
    <row r="6" spans="1:11">
      <c r="A6" s="3288" t="s">
        <v>1</v>
      </c>
      <c r="B6" s="3290" t="s">
        <v>94</v>
      </c>
      <c r="C6" s="3291"/>
      <c r="D6" s="3291"/>
      <c r="E6" s="3291"/>
      <c r="F6" s="3291"/>
      <c r="G6" s="3291"/>
      <c r="H6" s="3291"/>
      <c r="I6" s="3291"/>
      <c r="J6" s="3292"/>
    </row>
    <row r="7" spans="1:11" ht="16.5" thickBot="1">
      <c r="A7" s="3289"/>
      <c r="B7" s="3293" t="s">
        <v>95</v>
      </c>
      <c r="C7" s="3294"/>
      <c r="D7" s="3294"/>
      <c r="E7" s="3294"/>
      <c r="F7" s="3295"/>
      <c r="G7" s="3296" t="s">
        <v>96</v>
      </c>
      <c r="H7" s="3297"/>
      <c r="I7" s="3297"/>
      <c r="J7" s="3298"/>
    </row>
    <row r="8" spans="1:11">
      <c r="A8" s="136">
        <v>1</v>
      </c>
      <c r="B8" s="3299" t="s">
        <v>97</v>
      </c>
      <c r="C8" s="3300"/>
      <c r="D8" s="3300"/>
      <c r="E8" s="3300"/>
      <c r="F8" s="3301"/>
      <c r="G8" s="3302" t="s">
        <v>1561</v>
      </c>
      <c r="H8" s="3303"/>
      <c r="I8" s="3303"/>
      <c r="J8" s="3304"/>
    </row>
    <row r="9" spans="1:11">
      <c r="A9" s="137" t="s">
        <v>98</v>
      </c>
      <c r="B9" s="3230" t="s">
        <v>100</v>
      </c>
      <c r="C9" s="3231"/>
      <c r="D9" s="3231"/>
      <c r="E9" s="3231"/>
      <c r="F9" s="3232"/>
      <c r="G9" s="3283" t="s">
        <v>1562</v>
      </c>
      <c r="H9" s="3284"/>
      <c r="I9" s="3284"/>
      <c r="J9" s="3285"/>
    </row>
    <row r="10" spans="1:11">
      <c r="A10" s="137" t="s">
        <v>99</v>
      </c>
      <c r="B10" s="3230" t="s">
        <v>102</v>
      </c>
      <c r="C10" s="3231"/>
      <c r="D10" s="3231"/>
      <c r="E10" s="3231"/>
      <c r="F10" s="3232"/>
      <c r="G10" s="3283" t="s">
        <v>1563</v>
      </c>
      <c r="H10" s="3284"/>
      <c r="I10" s="3284"/>
      <c r="J10" s="3285"/>
    </row>
    <row r="11" spans="1:11" ht="16.5" thickBot="1">
      <c r="A11" s="138" t="s">
        <v>103</v>
      </c>
      <c r="B11" s="3242" t="s">
        <v>104</v>
      </c>
      <c r="C11" s="3243"/>
      <c r="D11" s="3243"/>
      <c r="E11" s="3243"/>
      <c r="F11" s="3244"/>
      <c r="G11" s="3245"/>
      <c r="H11" s="3246"/>
      <c r="I11" s="3246"/>
      <c r="J11" s="3247"/>
    </row>
    <row r="12" spans="1:11" ht="16.5" thickBot="1">
      <c r="A12" s="139" t="s">
        <v>105</v>
      </c>
      <c r="B12" s="3248" t="s">
        <v>106</v>
      </c>
      <c r="C12" s="3249"/>
      <c r="D12" s="3249"/>
      <c r="E12" s="3249"/>
      <c r="F12" s="3250"/>
      <c r="G12" s="3251" t="s">
        <v>109</v>
      </c>
      <c r="H12" s="3251"/>
      <c r="I12" s="3251"/>
      <c r="J12" s="3252"/>
    </row>
    <row r="13" spans="1:11">
      <c r="A13" s="3207" t="s">
        <v>107</v>
      </c>
      <c r="B13" s="3271" t="s">
        <v>108</v>
      </c>
      <c r="C13" s="3272"/>
      <c r="D13" s="3272"/>
      <c r="E13" s="3272"/>
      <c r="F13" s="3273"/>
      <c r="G13" s="3280" t="s">
        <v>131</v>
      </c>
      <c r="H13" s="3281"/>
      <c r="I13" s="3281"/>
      <c r="J13" s="3282"/>
    </row>
    <row r="14" spans="1:11">
      <c r="A14" s="3208"/>
      <c r="B14" s="3274"/>
      <c r="C14" s="3275"/>
      <c r="D14" s="3275"/>
      <c r="E14" s="3275"/>
      <c r="F14" s="3276"/>
      <c r="G14" s="3253" t="s">
        <v>132</v>
      </c>
      <c r="H14" s="3254"/>
      <c r="I14" s="3254"/>
      <c r="J14" s="3255"/>
    </row>
    <row r="15" spans="1:11">
      <c r="A15" s="3208"/>
      <c r="B15" s="3274"/>
      <c r="C15" s="3275"/>
      <c r="D15" s="3275"/>
      <c r="E15" s="3275"/>
      <c r="F15" s="3276"/>
      <c r="G15" s="3253" t="s">
        <v>133</v>
      </c>
      <c r="H15" s="3254"/>
      <c r="I15" s="3254"/>
      <c r="J15" s="3255"/>
    </row>
    <row r="16" spans="1:11">
      <c r="A16" s="3208"/>
      <c r="B16" s="3274"/>
      <c r="C16" s="3275"/>
      <c r="D16" s="3275"/>
      <c r="E16" s="3275"/>
      <c r="F16" s="3276"/>
      <c r="G16" s="3253" t="s">
        <v>134</v>
      </c>
      <c r="H16" s="3254"/>
      <c r="I16" s="3254"/>
      <c r="J16" s="3255"/>
    </row>
    <row r="17" spans="1:10">
      <c r="A17" s="3208"/>
      <c r="B17" s="3274"/>
      <c r="C17" s="3275"/>
      <c r="D17" s="3275"/>
      <c r="E17" s="3275"/>
      <c r="F17" s="3276"/>
      <c r="G17" s="3253" t="s">
        <v>135</v>
      </c>
      <c r="H17" s="3254"/>
      <c r="I17" s="3254"/>
      <c r="J17" s="3255"/>
    </row>
    <row r="18" spans="1:10" ht="16.5" thickBot="1">
      <c r="A18" s="3209"/>
      <c r="B18" s="3277"/>
      <c r="C18" s="3278"/>
      <c r="D18" s="3278"/>
      <c r="E18" s="3278"/>
      <c r="F18" s="3279"/>
      <c r="G18" s="3256" t="s">
        <v>987</v>
      </c>
      <c r="H18" s="3257"/>
      <c r="I18" s="3257"/>
      <c r="J18" s="3258"/>
    </row>
    <row r="19" spans="1:10">
      <c r="A19" s="138" t="s">
        <v>110</v>
      </c>
      <c r="B19" s="3259" t="s">
        <v>924</v>
      </c>
      <c r="C19" s="3260"/>
      <c r="D19" s="3260"/>
      <c r="E19" s="3260"/>
      <c r="F19" s="3261"/>
      <c r="G19" s="3268" t="s">
        <v>1647</v>
      </c>
      <c r="H19" s="3269"/>
      <c r="I19" s="3269"/>
      <c r="J19" s="3270"/>
    </row>
    <row r="20" spans="1:10">
      <c r="A20" s="138" t="s">
        <v>111</v>
      </c>
      <c r="B20" s="3262" t="s">
        <v>112</v>
      </c>
      <c r="C20" s="3263"/>
      <c r="D20" s="3263"/>
      <c r="E20" s="3263"/>
      <c r="F20" s="3264"/>
      <c r="G20" s="3265"/>
      <c r="H20" s="3266"/>
      <c r="I20" s="3266"/>
      <c r="J20" s="3267"/>
    </row>
    <row r="21" spans="1:10">
      <c r="A21" s="137" t="s">
        <v>113</v>
      </c>
      <c r="B21" s="3230" t="s">
        <v>927</v>
      </c>
      <c r="C21" s="3231"/>
      <c r="D21" s="3231"/>
      <c r="E21" s="3231"/>
      <c r="F21" s="3232"/>
      <c r="G21" s="3233" t="s">
        <v>1564</v>
      </c>
      <c r="H21" s="3234"/>
      <c r="I21" s="3234"/>
      <c r="J21" s="3235"/>
    </row>
    <row r="22" spans="1:10">
      <c r="A22" s="137" t="s">
        <v>115</v>
      </c>
      <c r="B22" s="3230" t="s">
        <v>926</v>
      </c>
      <c r="C22" s="3231"/>
      <c r="D22" s="3231"/>
      <c r="E22" s="3231"/>
      <c r="F22" s="3232"/>
      <c r="G22" s="3233" t="s">
        <v>1565</v>
      </c>
      <c r="H22" s="3234"/>
      <c r="I22" s="3234"/>
      <c r="J22" s="3235"/>
    </row>
    <row r="23" spans="1:10">
      <c r="A23" s="138" t="s">
        <v>117</v>
      </c>
      <c r="B23" s="3236" t="s">
        <v>118</v>
      </c>
      <c r="C23" s="3237"/>
      <c r="D23" s="3237"/>
      <c r="E23" s="3237"/>
      <c r="F23" s="3238"/>
      <c r="G23" s="3239"/>
      <c r="H23" s="3240"/>
      <c r="I23" s="3240"/>
      <c r="J23" s="3241"/>
    </row>
    <row r="24" spans="1:10">
      <c r="A24" s="140" t="s">
        <v>119</v>
      </c>
      <c r="B24" s="3225" t="s">
        <v>120</v>
      </c>
      <c r="C24" s="3226"/>
      <c r="D24" s="3226"/>
      <c r="E24" s="3226"/>
      <c r="F24" s="3227"/>
      <c r="G24" s="3222" t="s">
        <v>121</v>
      </c>
      <c r="H24" s="3223"/>
      <c r="I24" s="3223"/>
      <c r="J24" s="3224"/>
    </row>
    <row r="25" spans="1:10">
      <c r="A25" s="141"/>
      <c r="B25" s="3210" t="s">
        <v>122</v>
      </c>
      <c r="C25" s="3211"/>
      <c r="D25" s="3211"/>
      <c r="E25" s="3211"/>
      <c r="F25" s="3212"/>
      <c r="G25" s="441" t="s">
        <v>123</v>
      </c>
      <c r="H25" s="142"/>
      <c r="I25" s="142"/>
      <c r="J25" s="143"/>
    </row>
    <row r="26" spans="1:10">
      <c r="A26" s="140" t="s">
        <v>124</v>
      </c>
      <c r="B26" s="3225" t="s">
        <v>125</v>
      </c>
      <c r="C26" s="3226"/>
      <c r="D26" s="3226"/>
      <c r="E26" s="3226"/>
      <c r="F26" s="3227"/>
      <c r="G26" s="3222" t="s">
        <v>126</v>
      </c>
      <c r="H26" s="3223"/>
      <c r="I26" s="3223"/>
      <c r="J26" s="3224"/>
    </row>
    <row r="27" spans="1:10">
      <c r="A27" s="3228"/>
      <c r="B27" s="3210" t="s">
        <v>122</v>
      </c>
      <c r="C27" s="3211"/>
      <c r="D27" s="3211"/>
      <c r="E27" s="3211"/>
      <c r="F27" s="3212"/>
      <c r="G27" s="441" t="s">
        <v>496</v>
      </c>
      <c r="H27" s="597"/>
      <c r="I27" s="597"/>
      <c r="J27" s="598"/>
    </row>
    <row r="28" spans="1:10">
      <c r="A28" s="3229"/>
      <c r="B28" s="3213"/>
      <c r="C28" s="3214"/>
      <c r="D28" s="3214"/>
      <c r="E28" s="3214"/>
      <c r="F28" s="3215"/>
      <c r="G28" s="441" t="s">
        <v>499</v>
      </c>
      <c r="H28" s="142"/>
      <c r="I28" s="142"/>
      <c r="J28" s="143"/>
    </row>
    <row r="29" spans="1:10">
      <c r="A29" s="3229"/>
      <c r="B29" s="3213"/>
      <c r="C29" s="3214"/>
      <c r="D29" s="3214"/>
      <c r="E29" s="3214"/>
      <c r="F29" s="3215"/>
      <c r="G29" s="1382" t="s">
        <v>1440</v>
      </c>
      <c r="H29" s="607"/>
      <c r="I29" s="607"/>
      <c r="J29" s="608"/>
    </row>
    <row r="30" spans="1:10">
      <c r="A30" s="160"/>
      <c r="B30" s="3213"/>
      <c r="C30" s="3214"/>
      <c r="D30" s="3214"/>
      <c r="E30" s="3214"/>
      <c r="F30" s="3215"/>
      <c r="G30" s="441" t="s">
        <v>751</v>
      </c>
      <c r="H30" s="441"/>
      <c r="I30" s="441"/>
      <c r="J30" s="444"/>
    </row>
    <row r="31" spans="1:10">
      <c r="A31" s="160"/>
      <c r="B31" s="3213"/>
      <c r="C31" s="3214"/>
      <c r="D31" s="3214"/>
      <c r="E31" s="3214"/>
      <c r="F31" s="3215"/>
      <c r="G31" s="441" t="s">
        <v>1402</v>
      </c>
      <c r="H31" s="441"/>
      <c r="I31" s="441"/>
      <c r="J31" s="444"/>
    </row>
    <row r="32" spans="1:10">
      <c r="A32" s="410"/>
      <c r="B32" s="3213"/>
      <c r="C32" s="3214"/>
      <c r="D32" s="3214"/>
      <c r="E32" s="3214"/>
      <c r="F32" s="3215"/>
      <c r="G32" s="441" t="s">
        <v>874</v>
      </c>
      <c r="H32" s="441"/>
      <c r="I32" s="441"/>
      <c r="J32" s="444"/>
    </row>
    <row r="33" spans="1:10">
      <c r="A33" s="160"/>
      <c r="B33" s="3216"/>
      <c r="C33" s="3217"/>
      <c r="D33" s="3217"/>
      <c r="E33" s="3217"/>
      <c r="F33" s="3218"/>
      <c r="G33" s="441" t="s">
        <v>813</v>
      </c>
      <c r="H33" s="441"/>
      <c r="I33" s="441"/>
      <c r="J33" s="444"/>
    </row>
    <row r="34" spans="1:10">
      <c r="A34" s="140" t="s">
        <v>91</v>
      </c>
      <c r="B34" s="3225" t="s">
        <v>127</v>
      </c>
      <c r="C34" s="3226"/>
      <c r="D34" s="3226"/>
      <c r="E34" s="3226"/>
      <c r="F34" s="3227"/>
      <c r="G34" s="3222" t="s">
        <v>128</v>
      </c>
      <c r="H34" s="3223"/>
      <c r="I34" s="3223"/>
      <c r="J34" s="3224"/>
    </row>
    <row r="35" spans="1:10">
      <c r="A35" s="3207"/>
      <c r="B35" s="3210" t="s">
        <v>122</v>
      </c>
      <c r="C35" s="3211"/>
      <c r="D35" s="3211"/>
      <c r="E35" s="3211"/>
      <c r="F35" s="3212"/>
      <c r="G35" s="441" t="s">
        <v>814</v>
      </c>
      <c r="H35" s="441"/>
      <c r="I35" s="441"/>
      <c r="J35" s="444"/>
    </row>
    <row r="36" spans="1:10">
      <c r="A36" s="3208"/>
      <c r="B36" s="3213"/>
      <c r="C36" s="3214"/>
      <c r="D36" s="3214"/>
      <c r="E36" s="3214"/>
      <c r="F36" s="3215"/>
      <c r="G36" s="441" t="s">
        <v>815</v>
      </c>
      <c r="H36" s="441"/>
      <c r="I36" s="441"/>
      <c r="J36" s="444"/>
    </row>
    <row r="37" spans="1:10">
      <c r="A37" s="3208"/>
      <c r="B37" s="3213"/>
      <c r="C37" s="3214"/>
      <c r="D37" s="3214"/>
      <c r="E37" s="3214"/>
      <c r="F37" s="3215"/>
      <c r="G37" s="441" t="s">
        <v>816</v>
      </c>
      <c r="H37" s="441"/>
      <c r="I37" s="441"/>
      <c r="J37" s="444"/>
    </row>
    <row r="38" spans="1:10">
      <c r="A38" s="3208"/>
      <c r="B38" s="3213"/>
      <c r="C38" s="3214"/>
      <c r="D38" s="3214"/>
      <c r="E38" s="3214"/>
      <c r="F38" s="3215"/>
      <c r="G38" s="441" t="s">
        <v>1403</v>
      </c>
      <c r="H38" s="441"/>
      <c r="I38" s="441"/>
      <c r="J38" s="444"/>
    </row>
    <row r="39" spans="1:10">
      <c r="A39" s="3208"/>
      <c r="B39" s="3213"/>
      <c r="C39" s="3214"/>
      <c r="D39" s="3214"/>
      <c r="E39" s="3214"/>
      <c r="F39" s="3215"/>
      <c r="G39" s="1383" t="s">
        <v>1404</v>
      </c>
      <c r="H39" s="441"/>
      <c r="I39" s="441"/>
      <c r="J39" s="444"/>
    </row>
    <row r="40" spans="1:10" ht="15.75" customHeight="1">
      <c r="A40" s="3208"/>
      <c r="B40" s="3213"/>
      <c r="C40" s="3214"/>
      <c r="D40" s="3214"/>
      <c r="E40" s="3214"/>
      <c r="F40" s="3215"/>
      <c r="G40" s="1383" t="s">
        <v>823</v>
      </c>
      <c r="H40" s="441"/>
      <c r="I40" s="441"/>
      <c r="J40" s="444"/>
    </row>
    <row r="41" spans="1:10" ht="15.75" customHeight="1">
      <c r="A41" s="3209"/>
      <c r="B41" s="3216"/>
      <c r="C41" s="3217"/>
      <c r="D41" s="3217"/>
      <c r="E41" s="3217"/>
      <c r="F41" s="3218"/>
      <c r="G41" s="1383" t="s">
        <v>1405</v>
      </c>
      <c r="H41" s="441"/>
      <c r="I41" s="441"/>
      <c r="J41" s="444"/>
    </row>
    <row r="42" spans="1:10">
      <c r="A42" s="140" t="s">
        <v>92</v>
      </c>
      <c r="B42" s="3225" t="s">
        <v>129</v>
      </c>
      <c r="C42" s="3226"/>
      <c r="D42" s="3226"/>
      <c r="E42" s="3226"/>
      <c r="F42" s="3227"/>
      <c r="G42" s="3222" t="s">
        <v>130</v>
      </c>
      <c r="H42" s="3223"/>
      <c r="I42" s="3223"/>
      <c r="J42" s="3224"/>
    </row>
    <row r="43" spans="1:10">
      <c r="A43" s="140"/>
      <c r="B43" s="3213" t="s">
        <v>122</v>
      </c>
      <c r="C43" s="3214"/>
      <c r="D43" s="3214"/>
      <c r="E43" s="3214"/>
      <c r="F43" s="3215"/>
      <c r="G43" s="441" t="s">
        <v>824</v>
      </c>
      <c r="H43" s="445"/>
      <c r="I43" s="441"/>
      <c r="J43" s="444"/>
    </row>
    <row r="44" spans="1:10">
      <c r="A44" s="140" t="s">
        <v>491</v>
      </c>
      <c r="B44" s="3225" t="s">
        <v>492</v>
      </c>
      <c r="C44" s="3226"/>
      <c r="D44" s="3226"/>
      <c r="E44" s="3226"/>
      <c r="F44" s="3227"/>
      <c r="G44" s="3222" t="s">
        <v>755</v>
      </c>
      <c r="H44" s="3223"/>
      <c r="I44" s="3223"/>
      <c r="J44" s="3224"/>
    </row>
    <row r="45" spans="1:10">
      <c r="A45" s="3207"/>
      <c r="B45" s="3210" t="s">
        <v>122</v>
      </c>
      <c r="C45" s="3211"/>
      <c r="D45" s="3211"/>
      <c r="E45" s="3211"/>
      <c r="F45" s="3212"/>
      <c r="G45" s="441" t="s">
        <v>825</v>
      </c>
      <c r="H45" s="597"/>
      <c r="I45" s="597"/>
      <c r="J45" s="598"/>
    </row>
    <row r="46" spans="1:10">
      <c r="A46" s="3209"/>
      <c r="B46" s="3213"/>
      <c r="C46" s="3214"/>
      <c r="D46" s="3214"/>
      <c r="E46" s="3214"/>
      <c r="F46" s="3215"/>
      <c r="G46" s="441" t="s">
        <v>826</v>
      </c>
      <c r="H46" s="597"/>
      <c r="I46" s="597"/>
      <c r="J46" s="598"/>
    </row>
    <row r="47" spans="1:10">
      <c r="A47" s="140" t="s">
        <v>752</v>
      </c>
      <c r="B47" s="3225" t="s">
        <v>494</v>
      </c>
      <c r="C47" s="3226"/>
      <c r="D47" s="3226"/>
      <c r="E47" s="3226"/>
      <c r="F47" s="3227"/>
      <c r="G47" s="3222" t="s">
        <v>493</v>
      </c>
      <c r="H47" s="3223"/>
      <c r="I47" s="3223"/>
      <c r="J47" s="3224"/>
    </row>
    <row r="48" spans="1:10">
      <c r="A48" s="3207"/>
      <c r="B48" s="3210" t="s">
        <v>122</v>
      </c>
      <c r="C48" s="3211"/>
      <c r="D48" s="3211"/>
      <c r="E48" s="3211"/>
      <c r="F48" s="3212"/>
      <c r="G48" s="441" t="s">
        <v>827</v>
      </c>
      <c r="H48" s="441"/>
      <c r="I48" s="441"/>
      <c r="J48" s="444"/>
    </row>
    <row r="49" spans="1:11">
      <c r="A49" s="3208"/>
      <c r="B49" s="3213"/>
      <c r="C49" s="3214"/>
      <c r="D49" s="3214"/>
      <c r="E49" s="3214"/>
      <c r="F49" s="3215"/>
      <c r="G49" s="441" t="s">
        <v>828</v>
      </c>
      <c r="H49" s="441"/>
      <c r="I49" s="441"/>
      <c r="J49" s="444"/>
    </row>
    <row r="50" spans="1:11">
      <c r="A50" s="3208"/>
      <c r="B50" s="3213"/>
      <c r="C50" s="3214"/>
      <c r="D50" s="3214"/>
      <c r="E50" s="3214"/>
      <c r="F50" s="3215"/>
      <c r="G50" s="441" t="s">
        <v>829</v>
      </c>
      <c r="H50" s="441"/>
      <c r="I50" s="441"/>
      <c r="J50" s="444"/>
    </row>
    <row r="51" spans="1:11">
      <c r="A51" s="3208"/>
      <c r="B51" s="3213"/>
      <c r="C51" s="3214"/>
      <c r="D51" s="3214"/>
      <c r="E51" s="3214"/>
      <c r="F51" s="3215"/>
      <c r="G51" s="441" t="s">
        <v>1406</v>
      </c>
      <c r="H51" s="441"/>
      <c r="I51" s="441"/>
      <c r="J51" s="444"/>
    </row>
    <row r="52" spans="1:11">
      <c r="A52" s="3209"/>
      <c r="B52" s="3216"/>
      <c r="C52" s="3217"/>
      <c r="D52" s="3217"/>
      <c r="E52" s="3217"/>
      <c r="F52" s="3218"/>
      <c r="G52" s="441" t="s">
        <v>830</v>
      </c>
      <c r="H52" s="441"/>
      <c r="I52" s="441"/>
      <c r="J52" s="444"/>
    </row>
    <row r="53" spans="1:11">
      <c r="A53" s="140" t="s">
        <v>753</v>
      </c>
      <c r="B53" s="3225" t="s">
        <v>754</v>
      </c>
      <c r="C53" s="3226"/>
      <c r="D53" s="3226"/>
      <c r="E53" s="3226"/>
      <c r="F53" s="3227"/>
      <c r="G53" s="3222" t="s">
        <v>495</v>
      </c>
      <c r="H53" s="3223"/>
      <c r="I53" s="3223"/>
      <c r="J53" s="3224"/>
    </row>
    <row r="54" spans="1:11" ht="22.5" customHeight="1" thickBot="1">
      <c r="A54" s="1381"/>
      <c r="B54" s="3219"/>
      <c r="C54" s="3220"/>
      <c r="D54" s="3220"/>
      <c r="E54" s="3220"/>
      <c r="F54" s="3221"/>
      <c r="G54" s="448" t="s">
        <v>501</v>
      </c>
      <c r="H54" s="446"/>
      <c r="I54" s="446"/>
      <c r="J54" s="447"/>
    </row>
    <row r="56" spans="1:11">
      <c r="B56" s="144" t="str">
        <f>"Дата: "&amp;G19</f>
        <v>Дата: 27.08.2018 г.</v>
      </c>
      <c r="H56" s="145" t="s">
        <v>114</v>
      </c>
      <c r="I56" s="146" t="s">
        <v>4</v>
      </c>
      <c r="J56" s="146"/>
    </row>
    <row r="57" spans="1:11">
      <c r="H57" s="148"/>
      <c r="I57" s="149" t="s">
        <v>5</v>
      </c>
    </row>
    <row r="58" spans="1:11">
      <c r="F58" s="147"/>
      <c r="H58" s="150"/>
      <c r="I58" s="150"/>
      <c r="J58" s="150"/>
    </row>
    <row r="59" spans="1:11">
      <c r="F59" s="150"/>
      <c r="H59" s="150"/>
      <c r="I59" s="150"/>
      <c r="J59" s="150"/>
    </row>
    <row r="60" spans="1:11">
      <c r="F60" s="150"/>
      <c r="H60" s="194" t="s">
        <v>756</v>
      </c>
      <c r="I60" s="152" t="s">
        <v>925</v>
      </c>
      <c r="J60" s="150"/>
    </row>
    <row r="61" spans="1:11">
      <c r="F61" s="150"/>
      <c r="H61" s="148"/>
      <c r="I61" s="149" t="s">
        <v>6</v>
      </c>
      <c r="K61" s="151"/>
    </row>
    <row r="62" spans="1:11">
      <c r="F62" s="147"/>
      <c r="G62" s="153"/>
      <c r="H62" s="147"/>
      <c r="I62" s="154"/>
    </row>
    <row r="63" spans="1:11">
      <c r="A63" s="21" t="s">
        <v>757</v>
      </c>
      <c r="F63" s="147"/>
      <c r="G63" s="523"/>
      <c r="H63" s="23"/>
      <c r="I63" s="23"/>
      <c r="J63" s="23"/>
    </row>
    <row r="64" spans="1:11" s="23" customFormat="1">
      <c r="A64" s="197" t="s">
        <v>248</v>
      </c>
      <c r="B64" s="195"/>
      <c r="C64" s="195"/>
      <c r="D64" s="195"/>
      <c r="E64" s="29"/>
      <c r="F64" s="29"/>
      <c r="G64" s="523"/>
      <c r="H64" s="30"/>
      <c r="I64" s="30"/>
      <c r="J64" s="31"/>
    </row>
    <row r="65" spans="2:11" s="31" customFormat="1">
      <c r="B65" s="196"/>
      <c r="C65" s="196"/>
      <c r="D65" s="196"/>
      <c r="E65" s="29"/>
      <c r="F65" s="29"/>
      <c r="G65" s="134"/>
      <c r="H65" s="134"/>
      <c r="I65" s="134"/>
      <c r="J65" s="134"/>
      <c r="K65" s="32"/>
    </row>
  </sheetData>
  <sheetProtection password="C6DB" sheet="1" objects="1" scenarios="1" formatCells="0" formatColumns="0"/>
  <mergeCells count="60">
    <mergeCell ref="B10:F10"/>
    <mergeCell ref="G10:J10"/>
    <mergeCell ref="A2:J2"/>
    <mergeCell ref="A3:J3"/>
    <mergeCell ref="A4:J4"/>
    <mergeCell ref="A6:A7"/>
    <mergeCell ref="B6:J6"/>
    <mergeCell ref="B7:F7"/>
    <mergeCell ref="G7:J7"/>
    <mergeCell ref="B8:F8"/>
    <mergeCell ref="G8:J8"/>
    <mergeCell ref="B9:F9"/>
    <mergeCell ref="G9:J9"/>
    <mergeCell ref="A13:A18"/>
    <mergeCell ref="B13:F18"/>
    <mergeCell ref="G13:J13"/>
    <mergeCell ref="G14:J14"/>
    <mergeCell ref="G15:J15"/>
    <mergeCell ref="G16:J16"/>
    <mergeCell ref="B21:F21"/>
    <mergeCell ref="G21:J21"/>
    <mergeCell ref="B11:F11"/>
    <mergeCell ref="G11:J11"/>
    <mergeCell ref="B12:F12"/>
    <mergeCell ref="G12:J12"/>
    <mergeCell ref="G17:J17"/>
    <mergeCell ref="G18:J18"/>
    <mergeCell ref="B19:F19"/>
    <mergeCell ref="B20:F20"/>
    <mergeCell ref="G20:J20"/>
    <mergeCell ref="G19:J19"/>
    <mergeCell ref="B22:F22"/>
    <mergeCell ref="G22:J22"/>
    <mergeCell ref="B23:F23"/>
    <mergeCell ref="G23:J23"/>
    <mergeCell ref="B44:F44"/>
    <mergeCell ref="B24:F24"/>
    <mergeCell ref="G24:J24"/>
    <mergeCell ref="B25:F25"/>
    <mergeCell ref="B26:F26"/>
    <mergeCell ref="G26:J26"/>
    <mergeCell ref="G47:J47"/>
    <mergeCell ref="B42:F42"/>
    <mergeCell ref="A35:A41"/>
    <mergeCell ref="B35:F41"/>
    <mergeCell ref="B45:F46"/>
    <mergeCell ref="B47:F47"/>
    <mergeCell ref="A45:A46"/>
    <mergeCell ref="G44:J44"/>
    <mergeCell ref="A27:A29"/>
    <mergeCell ref="B27:F33"/>
    <mergeCell ref="B34:F34"/>
    <mergeCell ref="G34:J34"/>
    <mergeCell ref="B43:F43"/>
    <mergeCell ref="G42:J42"/>
    <mergeCell ref="A48:A52"/>
    <mergeCell ref="B48:F52"/>
    <mergeCell ref="B54:F54"/>
    <mergeCell ref="G53:J53"/>
    <mergeCell ref="B53:F53"/>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4"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CF6C6"/>
  </sheetPr>
  <dimension ref="A1:BB110"/>
  <sheetViews>
    <sheetView view="pageBreakPreview" zoomScaleNormal="100" zoomScaleSheetLayoutView="100" workbookViewId="0">
      <pane xSplit="4" ySplit="9" topLeftCell="E25" activePane="bottomRight" state="frozen"/>
      <selection pane="topRight" activeCell="E1" sqref="E1"/>
      <selection pane="bottomLeft" activeCell="A10" sqref="A10"/>
      <selection pane="bottomRight" activeCell="O32" sqref="O32"/>
    </sheetView>
  </sheetViews>
  <sheetFormatPr defaultRowHeight="12.75"/>
  <cols>
    <col min="1" max="1" width="4.42578125" style="177" customWidth="1"/>
    <col min="2" max="2" width="9.5703125" style="177" customWidth="1"/>
    <col min="3" max="3" width="8.7109375" style="171" customWidth="1"/>
    <col min="4" max="4" width="35.140625" style="180" customWidth="1"/>
    <col min="5" max="6" width="9.85546875" style="849" customWidth="1"/>
    <col min="7" max="11" width="9.85546875" style="181" customWidth="1"/>
    <col min="12" max="12" width="10.28515625" style="177" customWidth="1"/>
    <col min="13" max="14" width="9.140625" style="842" customWidth="1"/>
    <col min="15" max="19" width="9.140625" style="177" customWidth="1"/>
    <col min="20" max="21" width="9.140625" style="842" customWidth="1"/>
    <col min="22" max="26" width="9.140625" style="177" customWidth="1"/>
    <col min="27" max="27" width="7.85546875" style="177" customWidth="1"/>
    <col min="28" max="28" width="56.42578125" style="180" customWidth="1"/>
    <col min="29" max="29" width="47.5703125" style="180" customWidth="1"/>
    <col min="30" max="30" width="7.5703125" style="536" customWidth="1"/>
    <col min="31" max="31" width="9" style="536" customWidth="1"/>
    <col min="32" max="36" width="9" style="534" customWidth="1"/>
    <col min="37" max="37" width="9" style="182" customWidth="1"/>
    <col min="38" max="38" width="33.7109375" style="178" customWidth="1"/>
    <col min="39" max="16384" width="9.140625" style="182"/>
  </cols>
  <sheetData>
    <row r="1" spans="1:54" ht="13.5">
      <c r="E1" s="842"/>
      <c r="F1" s="842"/>
      <c r="G1" s="177"/>
      <c r="H1" s="177"/>
      <c r="I1" s="177"/>
      <c r="J1" s="177"/>
      <c r="K1" s="177"/>
      <c r="N1" s="662"/>
      <c r="O1" s="514"/>
      <c r="Q1" s="479"/>
      <c r="R1" s="479"/>
      <c r="S1" s="479"/>
      <c r="AC1" s="240"/>
      <c r="AD1" s="1531"/>
      <c r="AF1" s="177"/>
      <c r="AG1" s="177"/>
      <c r="AH1" s="177"/>
      <c r="AI1" s="177"/>
      <c r="AJ1" s="1531" t="s">
        <v>249</v>
      </c>
      <c r="AK1" s="171"/>
      <c r="AM1" s="171"/>
      <c r="AN1" s="171"/>
      <c r="AO1" s="171"/>
      <c r="AP1" s="171"/>
      <c r="AQ1" s="171"/>
      <c r="AR1" s="171"/>
      <c r="AS1" s="171"/>
      <c r="AT1" s="171"/>
      <c r="AU1" s="171"/>
      <c r="AV1" s="171"/>
      <c r="AW1" s="171"/>
      <c r="AX1" s="171"/>
      <c r="AY1" s="171"/>
      <c r="AZ1" s="171"/>
      <c r="BA1" s="171"/>
      <c r="BB1" s="171"/>
    </row>
    <row r="2" spans="1:54" ht="18.75" customHeight="1">
      <c r="A2" s="3410" t="s">
        <v>876</v>
      </c>
      <c r="B2" s="3410"/>
      <c r="C2" s="3410"/>
      <c r="D2" s="3410"/>
      <c r="E2" s="3410"/>
      <c r="F2" s="3410"/>
      <c r="G2" s="3410"/>
      <c r="H2" s="3410"/>
      <c r="I2" s="3410"/>
      <c r="J2" s="3410"/>
      <c r="K2" s="3410"/>
      <c r="L2" s="3410"/>
      <c r="M2" s="3410"/>
      <c r="N2" s="3410"/>
      <c r="O2" s="3410"/>
      <c r="P2" s="3410"/>
      <c r="Q2" s="3410"/>
      <c r="R2" s="3410"/>
      <c r="S2" s="3410"/>
      <c r="T2" s="3410"/>
      <c r="U2" s="3410"/>
      <c r="V2" s="3410"/>
      <c r="W2" s="3410"/>
      <c r="X2" s="3410"/>
      <c r="Y2" s="3410"/>
      <c r="Z2" s="3410"/>
      <c r="AA2" s="3410"/>
      <c r="AB2" s="2127"/>
      <c r="AC2" s="2127"/>
      <c r="AD2" s="1531"/>
      <c r="AF2" s="177"/>
      <c r="AG2" s="177"/>
      <c r="AH2" s="177"/>
      <c r="AI2" s="177"/>
      <c r="AJ2" s="1531"/>
      <c r="AK2" s="171"/>
      <c r="AM2" s="171"/>
      <c r="AN2" s="171"/>
      <c r="AO2" s="171"/>
      <c r="AP2" s="171"/>
      <c r="AQ2" s="171"/>
      <c r="AR2" s="171"/>
      <c r="AS2" s="171"/>
      <c r="AT2" s="171"/>
      <c r="AU2" s="171"/>
      <c r="AV2" s="171"/>
      <c r="AW2" s="171"/>
      <c r="AX2" s="171"/>
      <c r="AY2" s="171"/>
      <c r="AZ2" s="171"/>
      <c r="BA2" s="171"/>
      <c r="BB2" s="171"/>
    </row>
    <row r="3" spans="1:54" ht="18.75" customHeight="1">
      <c r="A3" s="3410" t="s">
        <v>1414</v>
      </c>
      <c r="B3" s="3410"/>
      <c r="C3" s="3410"/>
      <c r="D3" s="3410"/>
      <c r="E3" s="3410"/>
      <c r="F3" s="3410"/>
      <c r="G3" s="3410"/>
      <c r="H3" s="3410"/>
      <c r="I3" s="3410"/>
      <c r="J3" s="3410"/>
      <c r="K3" s="3410"/>
      <c r="L3" s="3410"/>
      <c r="M3" s="3410"/>
      <c r="N3" s="3410"/>
      <c r="O3" s="3410"/>
      <c r="P3" s="3410"/>
      <c r="Q3" s="3410"/>
      <c r="R3" s="3410"/>
      <c r="S3" s="3410"/>
      <c r="T3" s="3410"/>
      <c r="U3" s="3410"/>
      <c r="V3" s="3410"/>
      <c r="W3" s="3410"/>
      <c r="X3" s="3410"/>
      <c r="Y3" s="3410"/>
      <c r="Z3" s="3410"/>
      <c r="AA3" s="3410"/>
      <c r="AB3" s="2127"/>
      <c r="AC3" s="2127"/>
      <c r="AD3" s="177"/>
      <c r="AE3" s="177"/>
      <c r="AF3" s="177"/>
      <c r="AG3" s="177"/>
      <c r="AH3" s="177"/>
      <c r="AI3" s="177"/>
      <c r="AJ3" s="177"/>
      <c r="AK3" s="171"/>
      <c r="AL3" s="1709"/>
      <c r="AM3" s="171"/>
      <c r="AN3" s="171"/>
      <c r="AO3" s="171"/>
      <c r="AP3" s="171"/>
      <c r="AQ3" s="171"/>
      <c r="AR3" s="171"/>
      <c r="AS3" s="171"/>
      <c r="AT3" s="171"/>
      <c r="AU3" s="171"/>
      <c r="AV3" s="171"/>
      <c r="AW3" s="171"/>
      <c r="AX3" s="171"/>
      <c r="AY3" s="171"/>
      <c r="AZ3" s="171"/>
      <c r="BA3" s="171"/>
      <c r="BB3" s="171"/>
    </row>
    <row r="4" spans="1:54" ht="18.75">
      <c r="A4" s="3502" t="str">
        <f>'1. Анкетна карта'!A3:J3</f>
        <v>на "Водоснабдяване и канализация" ЕООД , гр. Благоевград</v>
      </c>
      <c r="B4" s="3502"/>
      <c r="C4" s="3502"/>
      <c r="D4" s="3502"/>
      <c r="E4" s="3502"/>
      <c r="F4" s="3502"/>
      <c r="G4" s="3502"/>
      <c r="H4" s="3502"/>
      <c r="I4" s="3502"/>
      <c r="J4" s="3502"/>
      <c r="K4" s="3502"/>
      <c r="L4" s="3502"/>
      <c r="M4" s="3502"/>
      <c r="N4" s="3502"/>
      <c r="O4" s="3502"/>
      <c r="P4" s="3502"/>
      <c r="Q4" s="3502"/>
      <c r="R4" s="3502"/>
      <c r="S4" s="3502"/>
      <c r="T4" s="3502"/>
      <c r="U4" s="3502"/>
      <c r="V4" s="3502"/>
      <c r="W4" s="3502"/>
      <c r="X4" s="3502"/>
      <c r="Y4" s="3502"/>
      <c r="Z4" s="3502"/>
      <c r="AA4" s="3502"/>
      <c r="AB4" s="2128"/>
      <c r="AC4" s="2128"/>
      <c r="AD4" s="533"/>
      <c r="AE4" s="533"/>
      <c r="AF4" s="533"/>
      <c r="AG4" s="533"/>
      <c r="AH4" s="533"/>
      <c r="AI4" s="533"/>
      <c r="AJ4" s="533"/>
      <c r="AK4" s="179"/>
      <c r="AL4" s="1710"/>
      <c r="AM4" s="179"/>
      <c r="AN4" s="179"/>
      <c r="AO4" s="179"/>
      <c r="AP4" s="179"/>
      <c r="AQ4" s="179"/>
      <c r="AR4" s="179"/>
      <c r="AS4" s="179"/>
      <c r="AT4" s="179"/>
      <c r="AU4" s="179"/>
      <c r="AV4" s="179"/>
      <c r="AW4" s="179"/>
      <c r="AX4" s="179"/>
      <c r="AY4" s="179"/>
      <c r="AZ4" s="179"/>
      <c r="BA4" s="179"/>
      <c r="BB4" s="179"/>
    </row>
    <row r="5" spans="1:54" ht="18.75">
      <c r="A5" s="3502" t="str">
        <f>'1. Анкетна карта'!A4:J4</f>
        <v>ЕИК по БУЛСТАТ: 811047831</v>
      </c>
      <c r="B5" s="3502"/>
      <c r="C5" s="3502"/>
      <c r="D5" s="3502"/>
      <c r="E5" s="3502"/>
      <c r="F5" s="3502"/>
      <c r="G5" s="3502"/>
      <c r="H5" s="3502"/>
      <c r="I5" s="3502"/>
      <c r="J5" s="3502"/>
      <c r="K5" s="3502"/>
      <c r="L5" s="3502"/>
      <c r="M5" s="3502"/>
      <c r="N5" s="3502"/>
      <c r="O5" s="3502"/>
      <c r="P5" s="3502"/>
      <c r="Q5" s="3502"/>
      <c r="R5" s="3502"/>
      <c r="S5" s="3502"/>
      <c r="T5" s="3502"/>
      <c r="U5" s="3502"/>
      <c r="V5" s="3502"/>
      <c r="W5" s="3502"/>
      <c r="X5" s="3502"/>
      <c r="Y5" s="3502"/>
      <c r="Z5" s="3502"/>
      <c r="AA5" s="3502"/>
      <c r="AB5" s="2128"/>
      <c r="AC5" s="2128"/>
      <c r="AD5" s="533"/>
      <c r="AE5" s="533"/>
      <c r="AF5" s="533"/>
      <c r="AG5" s="533"/>
      <c r="AH5" s="533"/>
      <c r="AI5" s="533"/>
      <c r="AJ5" s="533"/>
      <c r="AK5" s="179"/>
      <c r="AL5" s="1710"/>
      <c r="AM5" s="179"/>
      <c r="AN5" s="179"/>
      <c r="AO5" s="179"/>
      <c r="AP5" s="179"/>
      <c r="AQ5" s="179"/>
      <c r="AR5" s="179"/>
      <c r="AS5" s="179"/>
      <c r="AT5" s="179"/>
      <c r="AU5" s="179"/>
      <c r="AV5" s="179"/>
      <c r="AW5" s="179"/>
      <c r="AX5" s="179"/>
      <c r="AY5" s="179"/>
      <c r="AZ5" s="179"/>
      <c r="BA5" s="179"/>
      <c r="BB5" s="179"/>
    </row>
    <row r="6" spans="1:54" ht="13.5">
      <c r="E6" s="842"/>
      <c r="F6" s="842"/>
      <c r="G6" s="177"/>
      <c r="H6" s="177"/>
      <c r="I6" s="177"/>
      <c r="J6" s="177"/>
      <c r="K6" s="177"/>
      <c r="N6" s="662"/>
      <c r="O6" s="514"/>
      <c r="Q6" s="479"/>
      <c r="R6" s="479"/>
      <c r="S6" s="479"/>
      <c r="AB6" s="3510"/>
      <c r="AC6" s="3510"/>
      <c r="AD6" s="534"/>
      <c r="AE6" s="534"/>
    </row>
    <row r="7" spans="1:54" ht="13.5" thickBot="1">
      <c r="A7" s="3517"/>
      <c r="B7" s="3517"/>
      <c r="C7" s="3517"/>
      <c r="D7" s="3517"/>
      <c r="E7" s="3517"/>
      <c r="F7" s="3517"/>
      <c r="G7" s="3517"/>
      <c r="H7" s="3517"/>
      <c r="I7" s="3517"/>
      <c r="J7" s="3517"/>
      <c r="K7" s="3517"/>
      <c r="L7" s="3517"/>
      <c r="M7" s="3517"/>
      <c r="N7" s="3517"/>
      <c r="O7" s="3517"/>
      <c r="P7" s="3517"/>
      <c r="Q7" s="3517"/>
      <c r="R7" s="3517"/>
      <c r="S7" s="3517"/>
      <c r="T7" s="3517"/>
      <c r="U7" s="3517"/>
      <c r="V7" s="3517"/>
      <c r="W7" s="3517"/>
      <c r="X7" s="3517"/>
      <c r="Y7" s="3517"/>
      <c r="Z7" s="3517"/>
      <c r="AA7" s="3517"/>
      <c r="AB7" s="3517"/>
      <c r="AC7" s="3517"/>
      <c r="AD7" s="534"/>
      <c r="AE7" s="534"/>
      <c r="AL7" s="1711"/>
    </row>
    <row r="8" spans="1:54" s="184" customFormat="1" ht="24.75" customHeight="1" thickBot="1">
      <c r="A8" s="3472" t="s">
        <v>264</v>
      </c>
      <c r="B8" s="3505" t="s">
        <v>517</v>
      </c>
      <c r="C8" s="3505" t="s">
        <v>1490</v>
      </c>
      <c r="D8" s="3505" t="s">
        <v>265</v>
      </c>
      <c r="E8" s="3511" t="s">
        <v>482</v>
      </c>
      <c r="F8" s="3512"/>
      <c r="G8" s="3512"/>
      <c r="H8" s="3512"/>
      <c r="I8" s="3512"/>
      <c r="J8" s="3512"/>
      <c r="K8" s="3513"/>
      <c r="L8" s="3505" t="s">
        <v>1209</v>
      </c>
      <c r="M8" s="3514" t="s">
        <v>266</v>
      </c>
      <c r="N8" s="3515"/>
      <c r="O8" s="3515"/>
      <c r="P8" s="3515"/>
      <c r="Q8" s="3515"/>
      <c r="R8" s="3515"/>
      <c r="S8" s="3516"/>
      <c r="T8" s="3514" t="s">
        <v>267</v>
      </c>
      <c r="U8" s="3515"/>
      <c r="V8" s="3515"/>
      <c r="W8" s="3515"/>
      <c r="X8" s="3515"/>
      <c r="Y8" s="3515"/>
      <c r="Z8" s="3516"/>
      <c r="AA8" s="3518" t="s">
        <v>1208</v>
      </c>
      <c r="AB8" s="3500" t="s">
        <v>1492</v>
      </c>
      <c r="AC8" s="3500" t="s">
        <v>1491</v>
      </c>
      <c r="AD8" s="3507" t="s">
        <v>907</v>
      </c>
      <c r="AE8" s="3508"/>
      <c r="AF8" s="3508"/>
      <c r="AG8" s="3508"/>
      <c r="AH8" s="3508"/>
      <c r="AI8" s="3508"/>
      <c r="AJ8" s="3508"/>
      <c r="AK8" s="3509"/>
      <c r="AL8" s="3503" t="s">
        <v>516</v>
      </c>
    </row>
    <row r="9" spans="1:54" ht="36.75" customHeight="1" thickBot="1">
      <c r="A9" s="3473"/>
      <c r="B9" s="3506"/>
      <c r="C9" s="3506"/>
      <c r="D9" s="3506"/>
      <c r="E9" s="863" t="str">
        <f>'Приложение '!$G12</f>
        <v>2015 г.</v>
      </c>
      <c r="F9" s="2121" t="str">
        <f>'Приложение '!$G13</f>
        <v>2016 г.</v>
      </c>
      <c r="G9" s="2120" t="str">
        <f>'Приложение '!$G14</f>
        <v>2017 г.</v>
      </c>
      <c r="H9" s="864" t="str">
        <f>'Приложение '!$G15</f>
        <v>2018 г.</v>
      </c>
      <c r="I9" s="864" t="str">
        <f>'Приложение '!$G16</f>
        <v>2019 г.</v>
      </c>
      <c r="J9" s="864" t="str">
        <f>'Приложение '!$G17</f>
        <v>2020 г.</v>
      </c>
      <c r="K9" s="865" t="str">
        <f>'Приложение '!$G18</f>
        <v>2021 г.</v>
      </c>
      <c r="L9" s="3506"/>
      <c r="M9" s="2122" t="str">
        <f>E9</f>
        <v>2015 г.</v>
      </c>
      <c r="N9" s="867" t="str">
        <f t="shared" ref="N9:S9" si="0">F9</f>
        <v>2016 г.</v>
      </c>
      <c r="O9" s="868" t="str">
        <f t="shared" si="0"/>
        <v>2017 г.</v>
      </c>
      <c r="P9" s="869" t="str">
        <f t="shared" si="0"/>
        <v>2018 г.</v>
      </c>
      <c r="Q9" s="869" t="str">
        <f t="shared" si="0"/>
        <v>2019 г.</v>
      </c>
      <c r="R9" s="869" t="str">
        <f t="shared" si="0"/>
        <v>2020 г.</v>
      </c>
      <c r="S9" s="870" t="str">
        <f t="shared" si="0"/>
        <v>2021 г.</v>
      </c>
      <c r="T9" s="866" t="str">
        <f>M9</f>
        <v>2015 г.</v>
      </c>
      <c r="U9" s="867" t="str">
        <f t="shared" ref="U9:Z9" si="1">N9</f>
        <v>2016 г.</v>
      </c>
      <c r="V9" s="868" t="str">
        <f t="shared" si="1"/>
        <v>2017 г.</v>
      </c>
      <c r="W9" s="869" t="str">
        <f t="shared" si="1"/>
        <v>2018 г.</v>
      </c>
      <c r="X9" s="869" t="str">
        <f t="shared" si="1"/>
        <v>2019 г.</v>
      </c>
      <c r="Y9" s="869" t="str">
        <f t="shared" si="1"/>
        <v>2020 г.</v>
      </c>
      <c r="Z9" s="870" t="str">
        <f t="shared" si="1"/>
        <v>2021 г.</v>
      </c>
      <c r="AA9" s="3519"/>
      <c r="AB9" s="3501"/>
      <c r="AC9" s="3501"/>
      <c r="AD9" s="2247" t="s">
        <v>1015</v>
      </c>
      <c r="AE9" s="2244" t="str">
        <f t="shared" ref="AE9:AK9" si="2">E9</f>
        <v>2015 г.</v>
      </c>
      <c r="AF9" s="2123" t="str">
        <f t="shared" si="2"/>
        <v>2016 г.</v>
      </c>
      <c r="AG9" s="2124" t="str">
        <f t="shared" si="2"/>
        <v>2017 г.</v>
      </c>
      <c r="AH9" s="2124" t="str">
        <f t="shared" si="2"/>
        <v>2018 г.</v>
      </c>
      <c r="AI9" s="2124" t="str">
        <f t="shared" si="2"/>
        <v>2019 г.</v>
      </c>
      <c r="AJ9" s="2124" t="str">
        <f t="shared" si="2"/>
        <v>2020 г.</v>
      </c>
      <c r="AK9" s="2125" t="str">
        <f t="shared" si="2"/>
        <v>2021 г.</v>
      </c>
      <c r="AL9" s="3504"/>
    </row>
    <row r="10" spans="1:54" ht="18.75" customHeight="1" thickBot="1">
      <c r="A10" s="2224">
        <v>1.1000000000000001</v>
      </c>
      <c r="B10" s="2224"/>
      <c r="C10" s="2225"/>
      <c r="D10" s="2226" t="s">
        <v>519</v>
      </c>
      <c r="E10" s="2227">
        <f>SUM(E11:E34)</f>
        <v>2097</v>
      </c>
      <c r="F10" s="2228">
        <f t="shared" ref="F10:Z10" si="3">SUM(F11:F34)</f>
        <v>2066</v>
      </c>
      <c r="G10" s="2229">
        <f t="shared" si="3"/>
        <v>1340</v>
      </c>
      <c r="H10" s="2230">
        <f t="shared" si="3"/>
        <v>1602</v>
      </c>
      <c r="I10" s="2230">
        <f t="shared" si="3"/>
        <v>1893</v>
      </c>
      <c r="J10" s="2230">
        <f t="shared" si="3"/>
        <v>2379</v>
      </c>
      <c r="K10" s="2231">
        <f t="shared" si="3"/>
        <v>1975</v>
      </c>
      <c r="L10" s="2232">
        <f t="shared" si="3"/>
        <v>9189</v>
      </c>
      <c r="M10" s="2227">
        <f t="shared" si="3"/>
        <v>2097</v>
      </c>
      <c r="N10" s="2228">
        <f t="shared" si="3"/>
        <v>2066</v>
      </c>
      <c r="O10" s="2229">
        <f t="shared" si="3"/>
        <v>1340</v>
      </c>
      <c r="P10" s="2230">
        <f t="shared" si="3"/>
        <v>1602</v>
      </c>
      <c r="Q10" s="2230">
        <f t="shared" si="3"/>
        <v>1893</v>
      </c>
      <c r="R10" s="2230">
        <f t="shared" si="3"/>
        <v>2379</v>
      </c>
      <c r="S10" s="2233">
        <f t="shared" si="3"/>
        <v>1975</v>
      </c>
      <c r="T10" s="2227">
        <f t="shared" si="3"/>
        <v>0</v>
      </c>
      <c r="U10" s="2228">
        <f t="shared" si="3"/>
        <v>0</v>
      </c>
      <c r="V10" s="2229">
        <f t="shared" si="3"/>
        <v>0</v>
      </c>
      <c r="W10" s="2230">
        <f t="shared" si="3"/>
        <v>0</v>
      </c>
      <c r="X10" s="2230">
        <f t="shared" si="3"/>
        <v>0</v>
      </c>
      <c r="Y10" s="2230">
        <f t="shared" si="3"/>
        <v>0</v>
      </c>
      <c r="Z10" s="2231">
        <f t="shared" si="3"/>
        <v>0</v>
      </c>
      <c r="AA10" s="2234">
        <f t="shared" ref="AA10:AA67" si="4">L10-SUM(O10:S10)-SUM(V10:Z10)</f>
        <v>0</v>
      </c>
      <c r="AB10" s="2235"/>
      <c r="AC10" s="2236"/>
      <c r="AD10" s="2237"/>
      <c r="AE10" s="2245"/>
      <c r="AF10" s="2238"/>
      <c r="AG10" s="2239"/>
      <c r="AH10" s="2239"/>
      <c r="AI10" s="2239"/>
      <c r="AJ10" s="2239"/>
      <c r="AK10" s="2240"/>
      <c r="AL10" s="2241"/>
    </row>
    <row r="11" spans="1:54" ht="21.75" customHeight="1">
      <c r="A11" s="2206"/>
      <c r="B11" s="2207">
        <v>2040201</v>
      </c>
      <c r="C11" s="2208">
        <v>0.02</v>
      </c>
      <c r="D11" s="2209" t="s">
        <v>1007</v>
      </c>
      <c r="E11" s="2210"/>
      <c r="F11" s="2211"/>
      <c r="G11" s="2212">
        <v>14</v>
      </c>
      <c r="H11" s="2213"/>
      <c r="I11" s="2213"/>
      <c r="J11" s="2213"/>
      <c r="K11" s="2213"/>
      <c r="L11" s="2214">
        <f>SUM(G11:K11)</f>
        <v>14</v>
      </c>
      <c r="M11" s="2215">
        <f>E11-T11</f>
        <v>0</v>
      </c>
      <c r="N11" s="2216">
        <f t="shared" ref="N11:S11" si="5">F11-U11</f>
        <v>0</v>
      </c>
      <c r="O11" s="2217">
        <f t="shared" si="5"/>
        <v>14</v>
      </c>
      <c r="P11" s="2218">
        <f t="shared" si="5"/>
        <v>0</v>
      </c>
      <c r="Q11" s="2218">
        <f t="shared" si="5"/>
        <v>0</v>
      </c>
      <c r="R11" s="2218">
        <f t="shared" si="5"/>
        <v>0</v>
      </c>
      <c r="S11" s="2219">
        <f t="shared" si="5"/>
        <v>0</v>
      </c>
      <c r="T11" s="2210"/>
      <c r="U11" s="2211"/>
      <c r="V11" s="2212"/>
      <c r="W11" s="2213"/>
      <c r="X11" s="2213"/>
      <c r="Y11" s="2213"/>
      <c r="Z11" s="2213"/>
      <c r="AA11" s="2220">
        <f>L11-SUM(O11:S11)-SUM(V11:Z11)</f>
        <v>0</v>
      </c>
      <c r="AB11" s="2221"/>
      <c r="AC11" s="2222"/>
      <c r="AD11" s="2242" t="s">
        <v>908</v>
      </c>
      <c r="AE11" s="2212"/>
      <c r="AF11" s="2211"/>
      <c r="AG11" s="2212"/>
      <c r="AH11" s="2213"/>
      <c r="AI11" s="2213"/>
      <c r="AJ11" s="2213"/>
      <c r="AK11" s="2211"/>
      <c r="AL11" s="2223" t="s">
        <v>520</v>
      </c>
    </row>
    <row r="12" spans="1:54" ht="21.75" customHeight="1">
      <c r="A12" s="1673"/>
      <c r="B12" s="807">
        <v>2040202</v>
      </c>
      <c r="C12" s="808">
        <v>0.02</v>
      </c>
      <c r="D12" s="2156" t="s">
        <v>1010</v>
      </c>
      <c r="E12" s="780">
        <v>145</v>
      </c>
      <c r="F12" s="790"/>
      <c r="G12" s="794"/>
      <c r="H12" s="781">
        <v>2</v>
      </c>
      <c r="I12" s="781">
        <v>30</v>
      </c>
      <c r="J12" s="781">
        <v>30</v>
      </c>
      <c r="K12" s="781">
        <v>30</v>
      </c>
      <c r="L12" s="2158">
        <f t="shared" ref="L12:L67" si="6">SUM(G12:K12)</f>
        <v>92</v>
      </c>
      <c r="M12" s="1386">
        <f t="shared" ref="M12:M34" si="7">E12-T12</f>
        <v>145</v>
      </c>
      <c r="N12" s="1387">
        <f t="shared" ref="N12:N34" si="8">F12-U12</f>
        <v>0</v>
      </c>
      <c r="O12" s="1388">
        <f t="shared" ref="O12:O34" si="9">G12-V12</f>
        <v>0</v>
      </c>
      <c r="P12" s="1389">
        <f t="shared" ref="P12:P34" si="10">H12-W12</f>
        <v>2</v>
      </c>
      <c r="Q12" s="1389">
        <f t="shared" ref="Q12:Q34" si="11">I12-X12</f>
        <v>30</v>
      </c>
      <c r="R12" s="1389">
        <f t="shared" ref="R12:R34" si="12">J12-Y12</f>
        <v>30</v>
      </c>
      <c r="S12" s="1390">
        <f t="shared" ref="S12:S34" si="13">K12-Z12</f>
        <v>30</v>
      </c>
      <c r="T12" s="780"/>
      <c r="U12" s="790"/>
      <c r="V12" s="794"/>
      <c r="W12" s="781"/>
      <c r="X12" s="781"/>
      <c r="Y12" s="781"/>
      <c r="Z12" s="781"/>
      <c r="AA12" s="2159">
        <f t="shared" si="4"/>
        <v>0</v>
      </c>
      <c r="AB12" s="2166" t="s">
        <v>1622</v>
      </c>
      <c r="AC12" s="3166" t="s">
        <v>1623</v>
      </c>
      <c r="AD12" s="2243" t="s">
        <v>908</v>
      </c>
      <c r="AE12" s="794"/>
      <c r="AF12" s="790"/>
      <c r="AG12" s="794"/>
      <c r="AH12" s="781">
        <v>1</v>
      </c>
      <c r="AI12" s="781">
        <v>6</v>
      </c>
      <c r="AJ12" s="781">
        <v>6</v>
      </c>
      <c r="AK12" s="790">
        <v>6</v>
      </c>
      <c r="AL12" s="1443" t="s">
        <v>520</v>
      </c>
    </row>
    <row r="13" spans="1:54" ht="21.75" customHeight="1">
      <c r="A13" s="1673"/>
      <c r="B13" s="807">
        <v>2040204</v>
      </c>
      <c r="C13" s="808">
        <v>0.02</v>
      </c>
      <c r="D13" s="2156" t="s">
        <v>521</v>
      </c>
      <c r="E13" s="780"/>
      <c r="F13" s="790"/>
      <c r="G13" s="794"/>
      <c r="H13" s="781"/>
      <c r="I13" s="781">
        <v>20</v>
      </c>
      <c r="J13" s="781">
        <v>20</v>
      </c>
      <c r="K13" s="781">
        <v>20</v>
      </c>
      <c r="L13" s="2158">
        <f t="shared" si="6"/>
        <v>60</v>
      </c>
      <c r="M13" s="1386">
        <f t="shared" si="7"/>
        <v>0</v>
      </c>
      <c r="N13" s="1387">
        <f t="shared" si="8"/>
        <v>0</v>
      </c>
      <c r="O13" s="1388">
        <f t="shared" si="9"/>
        <v>0</v>
      </c>
      <c r="P13" s="1389">
        <f t="shared" si="10"/>
        <v>0</v>
      </c>
      <c r="Q13" s="1389">
        <f t="shared" si="11"/>
        <v>20</v>
      </c>
      <c r="R13" s="1389">
        <f t="shared" si="12"/>
        <v>20</v>
      </c>
      <c r="S13" s="1390">
        <f t="shared" si="13"/>
        <v>20</v>
      </c>
      <c r="T13" s="780"/>
      <c r="U13" s="790"/>
      <c r="V13" s="794"/>
      <c r="W13" s="781"/>
      <c r="X13" s="781"/>
      <c r="Y13" s="781"/>
      <c r="Z13" s="781"/>
      <c r="AA13" s="2159">
        <f t="shared" si="4"/>
        <v>0</v>
      </c>
      <c r="AB13" s="2166" t="s">
        <v>1622</v>
      </c>
      <c r="AC13" s="3166" t="s">
        <v>1623</v>
      </c>
      <c r="AD13" s="2243" t="s">
        <v>908</v>
      </c>
      <c r="AE13" s="794"/>
      <c r="AF13" s="790"/>
      <c r="AG13" s="794"/>
      <c r="AH13" s="781"/>
      <c r="AI13" s="781">
        <v>3</v>
      </c>
      <c r="AJ13" s="781">
        <v>3</v>
      </c>
      <c r="AK13" s="790">
        <v>3</v>
      </c>
      <c r="AL13" s="1443" t="s">
        <v>520</v>
      </c>
    </row>
    <row r="14" spans="1:54" ht="21.75" customHeight="1">
      <c r="A14" s="1673"/>
      <c r="B14" s="807">
        <v>20202</v>
      </c>
      <c r="C14" s="1689">
        <v>0.03</v>
      </c>
      <c r="D14" s="2156" t="s">
        <v>522</v>
      </c>
      <c r="E14" s="780"/>
      <c r="F14" s="790"/>
      <c r="G14" s="794">
        <v>6</v>
      </c>
      <c r="H14" s="781">
        <v>10</v>
      </c>
      <c r="I14" s="781">
        <f>30+5</f>
        <v>35</v>
      </c>
      <c r="J14" s="781">
        <v>30</v>
      </c>
      <c r="K14" s="781">
        <v>30</v>
      </c>
      <c r="L14" s="2158">
        <f t="shared" si="6"/>
        <v>111</v>
      </c>
      <c r="M14" s="1386">
        <f t="shared" si="7"/>
        <v>0</v>
      </c>
      <c r="N14" s="1387">
        <f t="shared" si="8"/>
        <v>0</v>
      </c>
      <c r="O14" s="1388">
        <f t="shared" si="9"/>
        <v>6</v>
      </c>
      <c r="P14" s="1389">
        <f t="shared" si="10"/>
        <v>10</v>
      </c>
      <c r="Q14" s="1389">
        <f t="shared" si="11"/>
        <v>35</v>
      </c>
      <c r="R14" s="1389">
        <f t="shared" si="12"/>
        <v>30</v>
      </c>
      <c r="S14" s="1390">
        <f t="shared" si="13"/>
        <v>30</v>
      </c>
      <c r="T14" s="780"/>
      <c r="U14" s="790"/>
      <c r="V14" s="794"/>
      <c r="W14" s="781"/>
      <c r="X14" s="781"/>
      <c r="Y14" s="781"/>
      <c r="Z14" s="781"/>
      <c r="AA14" s="2159">
        <f t="shared" si="4"/>
        <v>0</v>
      </c>
      <c r="AB14" s="2166" t="s">
        <v>1622</v>
      </c>
      <c r="AC14" s="3166" t="s">
        <v>1624</v>
      </c>
      <c r="AD14" s="2243" t="s">
        <v>908</v>
      </c>
      <c r="AE14" s="794"/>
      <c r="AF14" s="790"/>
      <c r="AG14" s="794">
        <v>2</v>
      </c>
      <c r="AH14" s="781">
        <v>3</v>
      </c>
      <c r="AI14" s="781">
        <v>11</v>
      </c>
      <c r="AJ14" s="781">
        <v>10</v>
      </c>
      <c r="AK14" s="790">
        <v>10</v>
      </c>
      <c r="AL14" s="1443" t="s">
        <v>520</v>
      </c>
    </row>
    <row r="15" spans="1:54" ht="24">
      <c r="A15" s="1673"/>
      <c r="B15" s="807">
        <v>2040205</v>
      </c>
      <c r="C15" s="808">
        <v>0.02</v>
      </c>
      <c r="D15" s="2156" t="s">
        <v>523</v>
      </c>
      <c r="E15" s="780">
        <v>2</v>
      </c>
      <c r="F15" s="790">
        <v>83</v>
      </c>
      <c r="G15" s="794">
        <v>116</v>
      </c>
      <c r="H15" s="781">
        <v>100</v>
      </c>
      <c r="I15" s="781">
        <v>76</v>
      </c>
      <c r="J15" s="781">
        <v>76</v>
      </c>
      <c r="K15" s="781">
        <v>76</v>
      </c>
      <c r="L15" s="2158">
        <f t="shared" si="6"/>
        <v>444</v>
      </c>
      <c r="M15" s="1386">
        <f t="shared" si="7"/>
        <v>2</v>
      </c>
      <c r="N15" s="1387">
        <f t="shared" si="8"/>
        <v>83</v>
      </c>
      <c r="O15" s="1388">
        <f t="shared" si="9"/>
        <v>116</v>
      </c>
      <c r="P15" s="1389">
        <f t="shared" si="10"/>
        <v>100</v>
      </c>
      <c r="Q15" s="1389">
        <f t="shared" si="11"/>
        <v>76</v>
      </c>
      <c r="R15" s="1389">
        <f t="shared" si="12"/>
        <v>76</v>
      </c>
      <c r="S15" s="1390">
        <f t="shared" si="13"/>
        <v>76</v>
      </c>
      <c r="T15" s="780"/>
      <c r="U15" s="790"/>
      <c r="V15" s="794"/>
      <c r="W15" s="781"/>
      <c r="X15" s="781"/>
      <c r="Y15" s="781"/>
      <c r="Z15" s="781"/>
      <c r="AA15" s="2159">
        <f t="shared" si="4"/>
        <v>0</v>
      </c>
      <c r="AB15" s="2166" t="s">
        <v>1622</v>
      </c>
      <c r="AC15" s="2169" t="s">
        <v>1625</v>
      </c>
      <c r="AD15" s="2243" t="s">
        <v>910</v>
      </c>
      <c r="AE15" s="794">
        <v>690</v>
      </c>
      <c r="AF15" s="790">
        <v>2869</v>
      </c>
      <c r="AG15" s="794">
        <v>3929</v>
      </c>
      <c r="AH15" s="781">
        <v>1230</v>
      </c>
      <c r="AI15" s="781">
        <v>1520</v>
      </c>
      <c r="AJ15" s="781">
        <v>1520</v>
      </c>
      <c r="AK15" s="790">
        <v>1520</v>
      </c>
      <c r="AL15" s="1443" t="s">
        <v>524</v>
      </c>
    </row>
    <row r="16" spans="1:54" ht="20.25" customHeight="1">
      <c r="A16" s="1673"/>
      <c r="B16" s="807">
        <v>2040207</v>
      </c>
      <c r="C16" s="808">
        <v>0.04</v>
      </c>
      <c r="D16" s="2156" t="s">
        <v>525</v>
      </c>
      <c r="E16" s="780">
        <v>6</v>
      </c>
      <c r="F16" s="790">
        <v>60</v>
      </c>
      <c r="G16" s="794">
        <v>120</v>
      </c>
      <c r="H16" s="781">
        <v>93</v>
      </c>
      <c r="I16" s="781">
        <v>130</v>
      </c>
      <c r="J16" s="781">
        <v>130</v>
      </c>
      <c r="K16" s="781">
        <v>130</v>
      </c>
      <c r="L16" s="2158">
        <f t="shared" si="6"/>
        <v>603</v>
      </c>
      <c r="M16" s="1386">
        <f t="shared" si="7"/>
        <v>6</v>
      </c>
      <c r="N16" s="1387">
        <f t="shared" si="8"/>
        <v>60</v>
      </c>
      <c r="O16" s="1388">
        <f t="shared" si="9"/>
        <v>120</v>
      </c>
      <c r="P16" s="1389">
        <f t="shared" si="10"/>
        <v>93</v>
      </c>
      <c r="Q16" s="1389">
        <f t="shared" si="11"/>
        <v>130</v>
      </c>
      <c r="R16" s="1389">
        <f t="shared" si="12"/>
        <v>130</v>
      </c>
      <c r="S16" s="1390">
        <f t="shared" si="13"/>
        <v>130</v>
      </c>
      <c r="T16" s="780"/>
      <c r="U16" s="790"/>
      <c r="V16" s="794"/>
      <c r="W16" s="781"/>
      <c r="X16" s="781"/>
      <c r="Y16" s="781"/>
      <c r="Z16" s="781"/>
      <c r="AA16" s="2159">
        <f t="shared" si="4"/>
        <v>0</v>
      </c>
      <c r="AB16" s="2166" t="s">
        <v>1622</v>
      </c>
      <c r="AC16" s="3166" t="s">
        <v>1626</v>
      </c>
      <c r="AD16" s="2243" t="s">
        <v>908</v>
      </c>
      <c r="AE16" s="794"/>
      <c r="AF16" s="790"/>
      <c r="AG16" s="794">
        <v>3</v>
      </c>
      <c r="AH16" s="781">
        <v>2</v>
      </c>
      <c r="AI16" s="781">
        <v>3</v>
      </c>
      <c r="AJ16" s="781">
        <v>3</v>
      </c>
      <c r="AK16" s="790">
        <v>3</v>
      </c>
      <c r="AL16" s="1443" t="s">
        <v>526</v>
      </c>
    </row>
    <row r="17" spans="1:38" ht="19.5" customHeight="1">
      <c r="A17" s="1673"/>
      <c r="B17" s="807">
        <v>2040207</v>
      </c>
      <c r="C17" s="808">
        <v>0.04</v>
      </c>
      <c r="D17" s="2157" t="s">
        <v>892</v>
      </c>
      <c r="E17" s="780">
        <v>230</v>
      </c>
      <c r="F17" s="790">
        <v>696</v>
      </c>
      <c r="G17" s="794">
        <v>190</v>
      </c>
      <c r="H17" s="781">
        <v>10</v>
      </c>
      <c r="I17" s="781">
        <v>180</v>
      </c>
      <c r="J17" s="781">
        <v>150</v>
      </c>
      <c r="K17" s="781">
        <v>150</v>
      </c>
      <c r="L17" s="2158">
        <f t="shared" si="6"/>
        <v>680</v>
      </c>
      <c r="M17" s="1386">
        <f t="shared" si="7"/>
        <v>230</v>
      </c>
      <c r="N17" s="1387">
        <f t="shared" si="8"/>
        <v>696</v>
      </c>
      <c r="O17" s="1388">
        <f t="shared" si="9"/>
        <v>190</v>
      </c>
      <c r="P17" s="1389">
        <f t="shared" si="10"/>
        <v>10</v>
      </c>
      <c r="Q17" s="1389">
        <f t="shared" si="11"/>
        <v>180</v>
      </c>
      <c r="R17" s="1389">
        <f t="shared" si="12"/>
        <v>150</v>
      </c>
      <c r="S17" s="1390">
        <f t="shared" si="13"/>
        <v>150</v>
      </c>
      <c r="T17" s="780"/>
      <c r="U17" s="790"/>
      <c r="V17" s="794"/>
      <c r="W17" s="781"/>
      <c r="X17" s="781"/>
      <c r="Y17" s="781"/>
      <c r="Z17" s="781"/>
      <c r="AA17" s="2159">
        <f t="shared" si="4"/>
        <v>0</v>
      </c>
      <c r="AB17" s="2166" t="s">
        <v>1622</v>
      </c>
      <c r="AC17" s="3166" t="s">
        <v>1627</v>
      </c>
      <c r="AD17" s="2243" t="s">
        <v>908</v>
      </c>
      <c r="AE17" s="794"/>
      <c r="AF17" s="790"/>
      <c r="AG17" s="794">
        <v>5</v>
      </c>
      <c r="AH17" s="781">
        <v>1</v>
      </c>
      <c r="AI17" s="781">
        <v>6</v>
      </c>
      <c r="AJ17" s="781">
        <v>5</v>
      </c>
      <c r="AK17" s="790">
        <v>5</v>
      </c>
      <c r="AL17" s="1443" t="s">
        <v>526</v>
      </c>
    </row>
    <row r="18" spans="1:38" ht="19.5" customHeight="1">
      <c r="A18" s="1673"/>
      <c r="B18" s="807">
        <v>2040207</v>
      </c>
      <c r="C18" s="808">
        <v>0.04</v>
      </c>
      <c r="D18" s="2157" t="s">
        <v>893</v>
      </c>
      <c r="E18" s="780">
        <v>20</v>
      </c>
      <c r="F18" s="790"/>
      <c r="G18" s="794"/>
      <c r="H18" s="781"/>
      <c r="I18" s="781">
        <v>3</v>
      </c>
      <c r="J18" s="781">
        <v>4</v>
      </c>
      <c r="K18" s="781">
        <v>4</v>
      </c>
      <c r="L18" s="2158">
        <f t="shared" si="6"/>
        <v>11</v>
      </c>
      <c r="M18" s="1386">
        <f t="shared" si="7"/>
        <v>20</v>
      </c>
      <c r="N18" s="1387">
        <f t="shared" si="8"/>
        <v>0</v>
      </c>
      <c r="O18" s="1388">
        <f t="shared" si="9"/>
        <v>0</v>
      </c>
      <c r="P18" s="1389">
        <f t="shared" si="10"/>
        <v>0</v>
      </c>
      <c r="Q18" s="1389">
        <f t="shared" si="11"/>
        <v>3</v>
      </c>
      <c r="R18" s="1389">
        <f t="shared" si="12"/>
        <v>4</v>
      </c>
      <c r="S18" s="1390">
        <f t="shared" si="13"/>
        <v>4</v>
      </c>
      <c r="T18" s="780"/>
      <c r="U18" s="790"/>
      <c r="V18" s="794"/>
      <c r="W18" s="781"/>
      <c r="X18" s="781"/>
      <c r="Y18" s="781"/>
      <c r="Z18" s="781"/>
      <c r="AA18" s="2159">
        <f t="shared" si="4"/>
        <v>0</v>
      </c>
      <c r="AB18" s="2166" t="s">
        <v>1622</v>
      </c>
      <c r="AC18" s="3166" t="s">
        <v>1628</v>
      </c>
      <c r="AD18" s="2243" t="s">
        <v>908</v>
      </c>
      <c r="AE18" s="794"/>
      <c r="AF18" s="790"/>
      <c r="AG18" s="794"/>
      <c r="AH18" s="781"/>
      <c r="AI18" s="781">
        <v>1</v>
      </c>
      <c r="AJ18" s="781">
        <v>1</v>
      </c>
      <c r="AK18" s="790">
        <v>1</v>
      </c>
      <c r="AL18" s="1443" t="s">
        <v>526</v>
      </c>
    </row>
    <row r="19" spans="1:38" ht="18.75" customHeight="1">
      <c r="A19" s="1673"/>
      <c r="B19" s="807">
        <v>2040207</v>
      </c>
      <c r="C19" s="808">
        <v>0.04</v>
      </c>
      <c r="D19" s="2157" t="s">
        <v>527</v>
      </c>
      <c r="E19" s="780">
        <v>1</v>
      </c>
      <c r="F19" s="790">
        <v>17</v>
      </c>
      <c r="G19" s="794">
        <v>37</v>
      </c>
      <c r="H19" s="781"/>
      <c r="I19" s="781"/>
      <c r="J19" s="781"/>
      <c r="K19" s="781"/>
      <c r="L19" s="2158">
        <f t="shared" si="6"/>
        <v>37</v>
      </c>
      <c r="M19" s="1386">
        <f t="shared" si="7"/>
        <v>1</v>
      </c>
      <c r="N19" s="1387">
        <f t="shared" si="8"/>
        <v>17</v>
      </c>
      <c r="O19" s="1388">
        <f t="shared" si="9"/>
        <v>37</v>
      </c>
      <c r="P19" s="1389">
        <f t="shared" si="10"/>
        <v>0</v>
      </c>
      <c r="Q19" s="1389">
        <f t="shared" si="11"/>
        <v>0</v>
      </c>
      <c r="R19" s="1389">
        <f t="shared" si="12"/>
        <v>0</v>
      </c>
      <c r="S19" s="1390">
        <f t="shared" si="13"/>
        <v>0</v>
      </c>
      <c r="T19" s="780"/>
      <c r="U19" s="790"/>
      <c r="V19" s="794"/>
      <c r="W19" s="781"/>
      <c r="X19" s="781"/>
      <c r="Y19" s="781"/>
      <c r="Z19" s="781"/>
      <c r="AA19" s="2159">
        <f t="shared" si="4"/>
        <v>0</v>
      </c>
      <c r="AB19" s="2166"/>
      <c r="AC19" s="2169"/>
      <c r="AD19" s="2243" t="s">
        <v>908</v>
      </c>
      <c r="AE19" s="794">
        <v>1</v>
      </c>
      <c r="AF19" s="790">
        <v>3</v>
      </c>
      <c r="AG19" s="794"/>
      <c r="AH19" s="781"/>
      <c r="AI19" s="781"/>
      <c r="AJ19" s="781"/>
      <c r="AK19" s="790"/>
      <c r="AL19" s="1443" t="s">
        <v>526</v>
      </c>
    </row>
    <row r="20" spans="1:38" ht="18.75" customHeight="1">
      <c r="A20" s="1673"/>
      <c r="B20" s="807">
        <v>2030401</v>
      </c>
      <c r="C20" s="810">
        <v>0.1</v>
      </c>
      <c r="D20" s="2157" t="s">
        <v>528</v>
      </c>
      <c r="E20" s="780">
        <v>16</v>
      </c>
      <c r="F20" s="790"/>
      <c r="G20" s="794"/>
      <c r="H20" s="781"/>
      <c r="I20" s="781"/>
      <c r="J20" s="781"/>
      <c r="K20" s="781"/>
      <c r="L20" s="2158">
        <f t="shared" si="6"/>
        <v>0</v>
      </c>
      <c r="M20" s="1386">
        <f t="shared" si="7"/>
        <v>16</v>
      </c>
      <c r="N20" s="1387">
        <f t="shared" si="8"/>
        <v>0</v>
      </c>
      <c r="O20" s="1388">
        <f t="shared" si="9"/>
        <v>0</v>
      </c>
      <c r="P20" s="1389">
        <f t="shared" si="10"/>
        <v>0</v>
      </c>
      <c r="Q20" s="1389">
        <f t="shared" si="11"/>
        <v>0</v>
      </c>
      <c r="R20" s="1389">
        <f t="shared" si="12"/>
        <v>0</v>
      </c>
      <c r="S20" s="1390">
        <f t="shared" si="13"/>
        <v>0</v>
      </c>
      <c r="T20" s="780"/>
      <c r="U20" s="790"/>
      <c r="V20" s="794"/>
      <c r="W20" s="781"/>
      <c r="X20" s="781"/>
      <c r="Y20" s="781"/>
      <c r="Z20" s="781"/>
      <c r="AA20" s="2159">
        <f>L20-SUM(O20:S20)-SUM(V20:Z20)</f>
        <v>0</v>
      </c>
      <c r="AB20" s="2166"/>
      <c r="AC20" s="2169"/>
      <c r="AD20" s="2243" t="s">
        <v>908</v>
      </c>
      <c r="AE20" s="794">
        <v>1</v>
      </c>
      <c r="AF20" s="790"/>
      <c r="AG20" s="794"/>
      <c r="AH20" s="781"/>
      <c r="AI20" s="781"/>
      <c r="AJ20" s="781"/>
      <c r="AK20" s="790"/>
      <c r="AL20" s="1443" t="s">
        <v>526</v>
      </c>
    </row>
    <row r="21" spans="1:38" ht="25.5">
      <c r="A21" s="1673"/>
      <c r="B21" s="807">
        <v>2040205</v>
      </c>
      <c r="C21" s="808">
        <v>0.02</v>
      </c>
      <c r="D21" s="2156" t="s">
        <v>529</v>
      </c>
      <c r="E21" s="780">
        <v>559</v>
      </c>
      <c r="F21" s="790">
        <v>1127</v>
      </c>
      <c r="G21" s="794">
        <v>656</v>
      </c>
      <c r="H21" s="781">
        <v>1025</v>
      </c>
      <c r="I21" s="781">
        <v>830</v>
      </c>
      <c r="J21" s="781">
        <f>1000+25+20</f>
        <v>1045</v>
      </c>
      <c r="K21" s="781">
        <f>800+20+20</f>
        <v>840</v>
      </c>
      <c r="L21" s="2158">
        <f t="shared" si="6"/>
        <v>4396</v>
      </c>
      <c r="M21" s="1386">
        <f t="shared" si="7"/>
        <v>559</v>
      </c>
      <c r="N21" s="1387">
        <f t="shared" si="8"/>
        <v>1127</v>
      </c>
      <c r="O21" s="1388">
        <f t="shared" si="9"/>
        <v>656</v>
      </c>
      <c r="P21" s="1389">
        <f t="shared" si="10"/>
        <v>1025</v>
      </c>
      <c r="Q21" s="1389">
        <f t="shared" si="11"/>
        <v>830</v>
      </c>
      <c r="R21" s="1389">
        <f t="shared" si="12"/>
        <v>1045</v>
      </c>
      <c r="S21" s="1390">
        <f t="shared" si="13"/>
        <v>840</v>
      </c>
      <c r="T21" s="780"/>
      <c r="U21" s="790"/>
      <c r="V21" s="794"/>
      <c r="W21" s="781"/>
      <c r="X21" s="781"/>
      <c r="Y21" s="781"/>
      <c r="Z21" s="781"/>
      <c r="AA21" s="2159">
        <f t="shared" si="4"/>
        <v>0</v>
      </c>
      <c r="AB21" s="2166" t="s">
        <v>1622</v>
      </c>
      <c r="AC21" s="3166" t="s">
        <v>1629</v>
      </c>
      <c r="AD21" s="2243" t="s">
        <v>910</v>
      </c>
      <c r="AE21" s="794">
        <v>11169</v>
      </c>
      <c r="AF21" s="790">
        <v>14025</v>
      </c>
      <c r="AG21" s="794">
        <v>12851</v>
      </c>
      <c r="AH21" s="781">
        <v>14803</v>
      </c>
      <c r="AI21" s="781">
        <v>13913</v>
      </c>
      <c r="AJ21" s="781">
        <v>15145</v>
      </c>
      <c r="AK21" s="790">
        <v>12174</v>
      </c>
      <c r="AL21" s="1443" t="s">
        <v>530</v>
      </c>
    </row>
    <row r="22" spans="1:38" ht="19.5" customHeight="1">
      <c r="A22" s="1673"/>
      <c r="B22" s="807">
        <v>2040205</v>
      </c>
      <c r="C22" s="808">
        <v>0.02</v>
      </c>
      <c r="D22" s="2156" t="s">
        <v>531</v>
      </c>
      <c r="E22" s="780"/>
      <c r="F22" s="790"/>
      <c r="G22" s="794"/>
      <c r="H22" s="781">
        <v>212</v>
      </c>
      <c r="I22" s="781">
        <v>150</v>
      </c>
      <c r="J22" s="781">
        <v>150</v>
      </c>
      <c r="K22" s="781">
        <v>150</v>
      </c>
      <c r="L22" s="2158">
        <f t="shared" si="6"/>
        <v>662</v>
      </c>
      <c r="M22" s="1386">
        <f t="shared" si="7"/>
        <v>0</v>
      </c>
      <c r="N22" s="1387">
        <f t="shared" si="8"/>
        <v>0</v>
      </c>
      <c r="O22" s="1388">
        <f t="shared" si="9"/>
        <v>0</v>
      </c>
      <c r="P22" s="1389">
        <f t="shared" si="10"/>
        <v>212</v>
      </c>
      <c r="Q22" s="1389">
        <f t="shared" si="11"/>
        <v>150</v>
      </c>
      <c r="R22" s="1389">
        <f t="shared" si="12"/>
        <v>150</v>
      </c>
      <c r="S22" s="1390">
        <f t="shared" si="13"/>
        <v>150</v>
      </c>
      <c r="T22" s="780"/>
      <c r="U22" s="790"/>
      <c r="V22" s="794"/>
      <c r="W22" s="781"/>
      <c r="X22" s="781"/>
      <c r="Y22" s="781"/>
      <c r="Z22" s="781"/>
      <c r="AA22" s="2159">
        <f t="shared" si="4"/>
        <v>0</v>
      </c>
      <c r="AB22" s="2166" t="s">
        <v>1622</v>
      </c>
      <c r="AC22" s="2169" t="s">
        <v>1630</v>
      </c>
      <c r="AD22" s="2243" t="s">
        <v>908</v>
      </c>
      <c r="AE22" s="794"/>
      <c r="AF22" s="790"/>
      <c r="AG22" s="794"/>
      <c r="AH22" s="781">
        <v>320</v>
      </c>
      <c r="AI22" s="781">
        <v>280</v>
      </c>
      <c r="AJ22" s="781">
        <v>280</v>
      </c>
      <c r="AK22" s="790">
        <v>280</v>
      </c>
      <c r="AL22" s="1443" t="s">
        <v>532</v>
      </c>
    </row>
    <row r="23" spans="1:38" ht="48">
      <c r="A23" s="1673"/>
      <c r="B23" s="807">
        <v>2030502</v>
      </c>
      <c r="C23" s="808">
        <v>0.1</v>
      </c>
      <c r="D23" s="2156" t="s">
        <v>533</v>
      </c>
      <c r="E23" s="780"/>
      <c r="F23" s="790"/>
      <c r="G23" s="794">
        <v>53</v>
      </c>
      <c r="H23" s="781"/>
      <c r="I23" s="781">
        <v>25</v>
      </c>
      <c r="J23" s="781">
        <v>20</v>
      </c>
      <c r="K23" s="781">
        <v>20</v>
      </c>
      <c r="L23" s="2158">
        <f t="shared" si="6"/>
        <v>118</v>
      </c>
      <c r="M23" s="1386">
        <f t="shared" si="7"/>
        <v>0</v>
      </c>
      <c r="N23" s="1387">
        <f t="shared" si="8"/>
        <v>0</v>
      </c>
      <c r="O23" s="1388">
        <f t="shared" si="9"/>
        <v>53</v>
      </c>
      <c r="P23" s="1389">
        <f t="shared" si="10"/>
        <v>0</v>
      </c>
      <c r="Q23" s="1389">
        <f t="shared" si="11"/>
        <v>25</v>
      </c>
      <c r="R23" s="1389">
        <f t="shared" si="12"/>
        <v>20</v>
      </c>
      <c r="S23" s="1390">
        <f t="shared" si="13"/>
        <v>20</v>
      </c>
      <c r="T23" s="780"/>
      <c r="U23" s="790"/>
      <c r="V23" s="794"/>
      <c r="W23" s="781"/>
      <c r="X23" s="781"/>
      <c r="Y23" s="781"/>
      <c r="Z23" s="781"/>
      <c r="AA23" s="2159">
        <f t="shared" si="4"/>
        <v>0</v>
      </c>
      <c r="AB23" s="2166" t="s">
        <v>1622</v>
      </c>
      <c r="AC23" s="3166" t="s">
        <v>1625</v>
      </c>
      <c r="AD23" s="2243" t="s">
        <v>908</v>
      </c>
      <c r="AE23" s="794"/>
      <c r="AF23" s="790"/>
      <c r="AG23" s="794">
        <v>3</v>
      </c>
      <c r="AH23" s="781"/>
      <c r="AI23" s="781">
        <v>3</v>
      </c>
      <c r="AJ23" s="781">
        <v>2</v>
      </c>
      <c r="AK23" s="790">
        <v>2</v>
      </c>
      <c r="AL23" s="1719" t="s">
        <v>1468</v>
      </c>
    </row>
    <row r="24" spans="1:38" ht="36">
      <c r="A24" s="1673"/>
      <c r="B24" s="807">
        <v>2030501</v>
      </c>
      <c r="C24" s="810">
        <v>0.1</v>
      </c>
      <c r="D24" s="2157" t="s">
        <v>884</v>
      </c>
      <c r="E24" s="780">
        <v>14</v>
      </c>
      <c r="F24" s="790">
        <v>19</v>
      </c>
      <c r="G24" s="794">
        <v>109</v>
      </c>
      <c r="H24" s="781"/>
      <c r="I24" s="781">
        <v>55</v>
      </c>
      <c r="J24" s="781">
        <f>50+20</f>
        <v>70</v>
      </c>
      <c r="K24" s="781">
        <f>50+20</f>
        <v>70</v>
      </c>
      <c r="L24" s="2158">
        <f t="shared" si="6"/>
        <v>304</v>
      </c>
      <c r="M24" s="1386">
        <f t="shared" si="7"/>
        <v>14</v>
      </c>
      <c r="N24" s="1387">
        <f t="shared" si="8"/>
        <v>19</v>
      </c>
      <c r="O24" s="1388">
        <f t="shared" si="9"/>
        <v>109</v>
      </c>
      <c r="P24" s="1389">
        <f t="shared" si="10"/>
        <v>0</v>
      </c>
      <c r="Q24" s="1389">
        <f t="shared" si="11"/>
        <v>55</v>
      </c>
      <c r="R24" s="1389">
        <f t="shared" si="12"/>
        <v>70</v>
      </c>
      <c r="S24" s="1390">
        <f t="shared" si="13"/>
        <v>70</v>
      </c>
      <c r="T24" s="780"/>
      <c r="U24" s="790"/>
      <c r="V24" s="794"/>
      <c r="W24" s="781"/>
      <c r="X24" s="781"/>
      <c r="Y24" s="781"/>
      <c r="Z24" s="781"/>
      <c r="AA24" s="2159">
        <f t="shared" si="4"/>
        <v>0</v>
      </c>
      <c r="AB24" s="2166" t="s">
        <v>1622</v>
      </c>
      <c r="AC24" s="3166" t="s">
        <v>1631</v>
      </c>
      <c r="AD24" s="2243" t="s">
        <v>908</v>
      </c>
      <c r="AE24" s="794">
        <v>1</v>
      </c>
      <c r="AF24" s="790">
        <v>1</v>
      </c>
      <c r="AG24" s="794">
        <v>55</v>
      </c>
      <c r="AH24" s="781"/>
      <c r="AI24" s="781">
        <v>38</v>
      </c>
      <c r="AJ24" s="781">
        <v>35</v>
      </c>
      <c r="AK24" s="790">
        <v>35</v>
      </c>
      <c r="AL24" s="1444" t="s">
        <v>962</v>
      </c>
    </row>
    <row r="25" spans="1:38" ht="36">
      <c r="A25" s="1673"/>
      <c r="B25" s="807">
        <v>2030501</v>
      </c>
      <c r="C25" s="810">
        <v>0.1</v>
      </c>
      <c r="D25" s="2156" t="s">
        <v>885</v>
      </c>
      <c r="E25" s="780">
        <v>41</v>
      </c>
      <c r="F25" s="790"/>
      <c r="G25" s="794"/>
      <c r="H25" s="781">
        <v>130</v>
      </c>
      <c r="I25" s="781">
        <v>95</v>
      </c>
      <c r="J25" s="781">
        <f>10+65+25+95</f>
        <v>195</v>
      </c>
      <c r="K25" s="781">
        <f>55+65+25+50</f>
        <v>195</v>
      </c>
      <c r="L25" s="2158">
        <f t="shared" si="6"/>
        <v>615</v>
      </c>
      <c r="M25" s="1386">
        <f t="shared" si="7"/>
        <v>41</v>
      </c>
      <c r="N25" s="1387">
        <f t="shared" si="8"/>
        <v>0</v>
      </c>
      <c r="O25" s="1388">
        <f t="shared" si="9"/>
        <v>0</v>
      </c>
      <c r="P25" s="1389">
        <f t="shared" si="10"/>
        <v>130</v>
      </c>
      <c r="Q25" s="1389">
        <f t="shared" si="11"/>
        <v>95</v>
      </c>
      <c r="R25" s="1389">
        <f t="shared" si="12"/>
        <v>195</v>
      </c>
      <c r="S25" s="1390">
        <f t="shared" si="13"/>
        <v>195</v>
      </c>
      <c r="T25" s="780"/>
      <c r="U25" s="790"/>
      <c r="V25" s="794"/>
      <c r="W25" s="781"/>
      <c r="X25" s="781"/>
      <c r="Y25" s="781"/>
      <c r="Z25" s="781"/>
      <c r="AA25" s="2159">
        <f t="shared" si="4"/>
        <v>0</v>
      </c>
      <c r="AB25" s="2166" t="s">
        <v>1622</v>
      </c>
      <c r="AC25" s="3166" t="s">
        <v>1631</v>
      </c>
      <c r="AD25" s="2243" t="s">
        <v>908</v>
      </c>
      <c r="AE25" s="794">
        <v>8</v>
      </c>
      <c r="AF25" s="790"/>
      <c r="AG25" s="794"/>
      <c r="AH25" s="781">
        <v>26</v>
      </c>
      <c r="AI25" s="781">
        <v>32</v>
      </c>
      <c r="AJ25" s="781">
        <v>39</v>
      </c>
      <c r="AK25" s="790">
        <v>39</v>
      </c>
      <c r="AL25" s="1444" t="s">
        <v>886</v>
      </c>
    </row>
    <row r="26" spans="1:38" ht="25.5">
      <c r="A26" s="1673"/>
      <c r="B26" s="807">
        <v>2030502</v>
      </c>
      <c r="C26" s="810">
        <v>0.1</v>
      </c>
      <c r="D26" s="2157" t="s">
        <v>534</v>
      </c>
      <c r="E26" s="780"/>
      <c r="F26" s="790"/>
      <c r="G26" s="794">
        <v>39</v>
      </c>
      <c r="H26" s="781"/>
      <c r="I26" s="781">
        <v>50</v>
      </c>
      <c r="J26" s="781">
        <v>50</v>
      </c>
      <c r="K26" s="781">
        <v>50</v>
      </c>
      <c r="L26" s="2158">
        <f t="shared" si="6"/>
        <v>189</v>
      </c>
      <c r="M26" s="1386">
        <f t="shared" si="7"/>
        <v>0</v>
      </c>
      <c r="N26" s="1387">
        <f t="shared" si="8"/>
        <v>0</v>
      </c>
      <c r="O26" s="1388">
        <f t="shared" si="9"/>
        <v>39</v>
      </c>
      <c r="P26" s="1389">
        <f t="shared" si="10"/>
        <v>0</v>
      </c>
      <c r="Q26" s="1389">
        <f t="shared" si="11"/>
        <v>50</v>
      </c>
      <c r="R26" s="1389">
        <f t="shared" si="12"/>
        <v>50</v>
      </c>
      <c r="S26" s="1390">
        <f t="shared" si="13"/>
        <v>50</v>
      </c>
      <c r="T26" s="780"/>
      <c r="U26" s="790"/>
      <c r="V26" s="794"/>
      <c r="W26" s="781"/>
      <c r="X26" s="781"/>
      <c r="Y26" s="781"/>
      <c r="Z26" s="781"/>
      <c r="AA26" s="2159">
        <f t="shared" si="4"/>
        <v>0</v>
      </c>
      <c r="AB26" s="2166" t="s">
        <v>1622</v>
      </c>
      <c r="AC26" s="3166" t="s">
        <v>1632</v>
      </c>
      <c r="AD26" s="2243" t="s">
        <v>908</v>
      </c>
      <c r="AE26" s="794"/>
      <c r="AF26" s="790"/>
      <c r="AG26" s="794">
        <v>2</v>
      </c>
      <c r="AH26" s="781"/>
      <c r="AI26" s="781">
        <v>3</v>
      </c>
      <c r="AJ26" s="781">
        <v>3</v>
      </c>
      <c r="AK26" s="790">
        <v>3</v>
      </c>
      <c r="AL26" s="1444" t="s">
        <v>961</v>
      </c>
    </row>
    <row r="27" spans="1:38" ht="25.5">
      <c r="A27" s="1673"/>
      <c r="B27" s="807">
        <v>215</v>
      </c>
      <c r="C27" s="1689">
        <v>0.2</v>
      </c>
      <c r="D27" s="2156" t="s">
        <v>535</v>
      </c>
      <c r="E27" s="780"/>
      <c r="F27" s="790"/>
      <c r="G27" s="794"/>
      <c r="H27" s="781"/>
      <c r="I27" s="781">
        <v>10</v>
      </c>
      <c r="J27" s="781">
        <v>10</v>
      </c>
      <c r="K27" s="781">
        <v>10</v>
      </c>
      <c r="L27" s="2158">
        <f t="shared" si="6"/>
        <v>30</v>
      </c>
      <c r="M27" s="1386">
        <f t="shared" si="7"/>
        <v>0</v>
      </c>
      <c r="N27" s="1387">
        <f t="shared" si="8"/>
        <v>0</v>
      </c>
      <c r="O27" s="1388">
        <f t="shared" si="9"/>
        <v>0</v>
      </c>
      <c r="P27" s="1389">
        <f t="shared" si="10"/>
        <v>0</v>
      </c>
      <c r="Q27" s="1389">
        <f t="shared" si="11"/>
        <v>10</v>
      </c>
      <c r="R27" s="1389">
        <f t="shared" si="12"/>
        <v>10</v>
      </c>
      <c r="S27" s="1390">
        <f t="shared" si="13"/>
        <v>10</v>
      </c>
      <c r="T27" s="780"/>
      <c r="U27" s="790"/>
      <c r="V27" s="794"/>
      <c r="W27" s="781"/>
      <c r="X27" s="781"/>
      <c r="Y27" s="781"/>
      <c r="Z27" s="781"/>
      <c r="AA27" s="2159">
        <f t="shared" si="4"/>
        <v>0</v>
      </c>
      <c r="AB27" s="2166" t="s">
        <v>1622</v>
      </c>
      <c r="AC27" s="3166" t="s">
        <v>1633</v>
      </c>
      <c r="AD27" s="1377" t="s">
        <v>380</v>
      </c>
      <c r="AE27" s="794"/>
      <c r="AF27" s="790"/>
      <c r="AG27" s="794"/>
      <c r="AH27" s="781"/>
      <c r="AI27" s="781">
        <v>5</v>
      </c>
      <c r="AJ27" s="781">
        <v>5</v>
      </c>
      <c r="AK27" s="790">
        <v>5</v>
      </c>
      <c r="AL27" s="1443" t="s">
        <v>536</v>
      </c>
    </row>
    <row r="28" spans="1:38" ht="22.5" customHeight="1">
      <c r="A28" s="1673"/>
      <c r="B28" s="807">
        <v>2030503</v>
      </c>
      <c r="C28" s="808">
        <v>0.1</v>
      </c>
      <c r="D28" s="2156" t="s">
        <v>896</v>
      </c>
      <c r="E28" s="780">
        <v>66</v>
      </c>
      <c r="F28" s="790">
        <v>1</v>
      </c>
      <c r="G28" s="794"/>
      <c r="H28" s="781"/>
      <c r="I28" s="781">
        <v>48</v>
      </c>
      <c r="J28" s="781">
        <v>50</v>
      </c>
      <c r="K28" s="781">
        <v>55</v>
      </c>
      <c r="L28" s="2158">
        <f t="shared" si="6"/>
        <v>153</v>
      </c>
      <c r="M28" s="1386">
        <f t="shared" si="7"/>
        <v>66</v>
      </c>
      <c r="N28" s="1387">
        <f t="shared" si="8"/>
        <v>1</v>
      </c>
      <c r="O28" s="1388">
        <f t="shared" si="9"/>
        <v>0</v>
      </c>
      <c r="P28" s="1389">
        <f t="shared" si="10"/>
        <v>0</v>
      </c>
      <c r="Q28" s="1389">
        <f t="shared" si="11"/>
        <v>48</v>
      </c>
      <c r="R28" s="1389">
        <f t="shared" si="12"/>
        <v>50</v>
      </c>
      <c r="S28" s="1390">
        <f t="shared" si="13"/>
        <v>55</v>
      </c>
      <c r="T28" s="780"/>
      <c r="U28" s="790"/>
      <c r="V28" s="794"/>
      <c r="W28" s="781"/>
      <c r="X28" s="781"/>
      <c r="Y28" s="781"/>
      <c r="Z28" s="781"/>
      <c r="AA28" s="2159">
        <f t="shared" si="4"/>
        <v>0</v>
      </c>
      <c r="AB28" s="2166" t="s">
        <v>1622</v>
      </c>
      <c r="AC28" s="3166" t="s">
        <v>1634</v>
      </c>
      <c r="AD28" s="2243" t="s">
        <v>908</v>
      </c>
      <c r="AE28" s="794">
        <v>13</v>
      </c>
      <c r="AF28" s="790">
        <v>1</v>
      </c>
      <c r="AG28" s="794"/>
      <c r="AH28" s="781"/>
      <c r="AI28" s="781">
        <v>5</v>
      </c>
      <c r="AJ28" s="781">
        <v>5</v>
      </c>
      <c r="AK28" s="790">
        <v>6</v>
      </c>
      <c r="AL28" s="1443" t="s">
        <v>537</v>
      </c>
    </row>
    <row r="29" spans="1:38" ht="21.75" customHeight="1">
      <c r="A29" s="1673"/>
      <c r="B29" s="807">
        <v>20302</v>
      </c>
      <c r="C29" s="808">
        <v>0.1</v>
      </c>
      <c r="D29" s="2156" t="s">
        <v>538</v>
      </c>
      <c r="E29" s="780"/>
      <c r="F29" s="790"/>
      <c r="G29" s="794"/>
      <c r="H29" s="781">
        <v>20</v>
      </c>
      <c r="I29" s="781">
        <v>11</v>
      </c>
      <c r="J29" s="781">
        <v>17</v>
      </c>
      <c r="K29" s="781">
        <v>35</v>
      </c>
      <c r="L29" s="2158">
        <f t="shared" si="6"/>
        <v>83</v>
      </c>
      <c r="M29" s="1386">
        <f t="shared" si="7"/>
        <v>0</v>
      </c>
      <c r="N29" s="1387">
        <f t="shared" si="8"/>
        <v>0</v>
      </c>
      <c r="O29" s="1388">
        <f t="shared" si="9"/>
        <v>0</v>
      </c>
      <c r="P29" s="1389">
        <f t="shared" si="10"/>
        <v>20</v>
      </c>
      <c r="Q29" s="1389">
        <f t="shared" si="11"/>
        <v>11</v>
      </c>
      <c r="R29" s="1389">
        <f t="shared" si="12"/>
        <v>17</v>
      </c>
      <c r="S29" s="1390">
        <f t="shared" si="13"/>
        <v>35</v>
      </c>
      <c r="T29" s="780"/>
      <c r="U29" s="790"/>
      <c r="V29" s="794"/>
      <c r="W29" s="781"/>
      <c r="X29" s="781"/>
      <c r="Y29" s="781"/>
      <c r="Z29" s="781"/>
      <c r="AA29" s="2159">
        <f t="shared" si="4"/>
        <v>0</v>
      </c>
      <c r="AB29" s="2166" t="s">
        <v>1622</v>
      </c>
      <c r="AC29" s="2169" t="s">
        <v>1635</v>
      </c>
      <c r="AD29" s="2243" t="s">
        <v>908</v>
      </c>
      <c r="AE29" s="794"/>
      <c r="AF29" s="790"/>
      <c r="AG29" s="794"/>
      <c r="AH29" s="781"/>
      <c r="AI29" s="781">
        <v>1</v>
      </c>
      <c r="AJ29" s="781">
        <v>2</v>
      </c>
      <c r="AK29" s="790">
        <v>4</v>
      </c>
      <c r="AL29" s="1443" t="s">
        <v>539</v>
      </c>
    </row>
    <row r="30" spans="1:38" ht="25.5">
      <c r="A30" s="1674"/>
      <c r="B30" s="807">
        <v>20502</v>
      </c>
      <c r="C30" s="808">
        <v>0.1</v>
      </c>
      <c r="D30" s="2156" t="s">
        <v>540</v>
      </c>
      <c r="E30" s="780">
        <v>329</v>
      </c>
      <c r="F30" s="790"/>
      <c r="G30" s="794"/>
      <c r="H30" s="781"/>
      <c r="I30" s="781">
        <v>60</v>
      </c>
      <c r="J30" s="781">
        <v>30</v>
      </c>
      <c r="K30" s="781">
        <v>30</v>
      </c>
      <c r="L30" s="2158">
        <f t="shared" si="6"/>
        <v>120</v>
      </c>
      <c r="M30" s="1386">
        <f t="shared" si="7"/>
        <v>329</v>
      </c>
      <c r="N30" s="1387">
        <f t="shared" si="8"/>
        <v>0</v>
      </c>
      <c r="O30" s="1388">
        <f t="shared" si="9"/>
        <v>0</v>
      </c>
      <c r="P30" s="1389">
        <f t="shared" si="10"/>
        <v>0</v>
      </c>
      <c r="Q30" s="1389">
        <f t="shared" si="11"/>
        <v>60</v>
      </c>
      <c r="R30" s="1389">
        <f t="shared" si="12"/>
        <v>30</v>
      </c>
      <c r="S30" s="1390">
        <f t="shared" si="13"/>
        <v>30</v>
      </c>
      <c r="T30" s="780"/>
      <c r="U30" s="790"/>
      <c r="V30" s="794"/>
      <c r="W30" s="781"/>
      <c r="X30" s="781"/>
      <c r="Y30" s="781"/>
      <c r="Z30" s="781"/>
      <c r="AA30" s="2159">
        <f t="shared" si="4"/>
        <v>0</v>
      </c>
      <c r="AB30" s="2166" t="s">
        <v>1622</v>
      </c>
      <c r="AC30" s="3166" t="s">
        <v>1636</v>
      </c>
      <c r="AD30" s="2243" t="s">
        <v>908</v>
      </c>
      <c r="AE30" s="794">
        <v>11</v>
      </c>
      <c r="AF30" s="790"/>
      <c r="AG30" s="794"/>
      <c r="AH30" s="781"/>
      <c r="AI30" s="781">
        <v>2</v>
      </c>
      <c r="AJ30" s="781">
        <v>1</v>
      </c>
      <c r="AK30" s="790">
        <v>1</v>
      </c>
      <c r="AL30" s="1443" t="s">
        <v>541</v>
      </c>
    </row>
    <row r="31" spans="1:38" ht="25.5">
      <c r="A31" s="1674"/>
      <c r="B31" s="807">
        <v>20501</v>
      </c>
      <c r="C31" s="808">
        <v>0.08</v>
      </c>
      <c r="D31" s="2156" t="s">
        <v>542</v>
      </c>
      <c r="E31" s="780">
        <v>242</v>
      </c>
      <c r="F31" s="790"/>
      <c r="G31" s="794"/>
      <c r="H31" s="781"/>
      <c r="I31" s="781"/>
      <c r="J31" s="781"/>
      <c r="K31" s="781"/>
      <c r="L31" s="2158">
        <f t="shared" si="6"/>
        <v>0</v>
      </c>
      <c r="M31" s="1386">
        <f t="shared" si="7"/>
        <v>242</v>
      </c>
      <c r="N31" s="1387">
        <f t="shared" si="8"/>
        <v>0</v>
      </c>
      <c r="O31" s="1388">
        <f t="shared" si="9"/>
        <v>0</v>
      </c>
      <c r="P31" s="1389">
        <f t="shared" si="10"/>
        <v>0</v>
      </c>
      <c r="Q31" s="1389">
        <f t="shared" si="11"/>
        <v>0</v>
      </c>
      <c r="R31" s="1389">
        <f t="shared" si="12"/>
        <v>0</v>
      </c>
      <c r="S31" s="1390">
        <f t="shared" si="13"/>
        <v>0</v>
      </c>
      <c r="T31" s="780"/>
      <c r="U31" s="790"/>
      <c r="V31" s="794"/>
      <c r="W31" s="781"/>
      <c r="X31" s="781"/>
      <c r="Y31" s="781"/>
      <c r="Z31" s="781"/>
      <c r="AA31" s="2159">
        <f t="shared" si="4"/>
        <v>0</v>
      </c>
      <c r="AB31" s="2166" t="s">
        <v>1622</v>
      </c>
      <c r="AC31" s="3166" t="s">
        <v>1636</v>
      </c>
      <c r="AD31" s="2243" t="s">
        <v>908</v>
      </c>
      <c r="AE31" s="794">
        <v>3</v>
      </c>
      <c r="AF31" s="790"/>
      <c r="AG31" s="794"/>
      <c r="AH31" s="781"/>
      <c r="AI31" s="781"/>
      <c r="AJ31" s="781"/>
      <c r="AK31" s="790"/>
      <c r="AL31" s="1443" t="s">
        <v>541</v>
      </c>
    </row>
    <row r="32" spans="1:38" ht="25.5">
      <c r="A32" s="1674"/>
      <c r="B32" s="807">
        <v>20503</v>
      </c>
      <c r="C32" s="808">
        <v>0.1</v>
      </c>
      <c r="D32" s="2157" t="s">
        <v>906</v>
      </c>
      <c r="E32" s="780"/>
      <c r="F32" s="790"/>
      <c r="G32" s="794"/>
      <c r="H32" s="781"/>
      <c r="I32" s="781"/>
      <c r="J32" s="781"/>
      <c r="K32" s="781"/>
      <c r="L32" s="2158">
        <f t="shared" si="6"/>
        <v>0</v>
      </c>
      <c r="M32" s="1386">
        <f t="shared" si="7"/>
        <v>0</v>
      </c>
      <c r="N32" s="1387">
        <f t="shared" si="8"/>
        <v>0</v>
      </c>
      <c r="O32" s="1388">
        <f t="shared" si="9"/>
        <v>0</v>
      </c>
      <c r="P32" s="1389">
        <f t="shared" si="10"/>
        <v>0</v>
      </c>
      <c r="Q32" s="1389">
        <f t="shared" si="11"/>
        <v>0</v>
      </c>
      <c r="R32" s="1389">
        <f t="shared" si="12"/>
        <v>0</v>
      </c>
      <c r="S32" s="1390">
        <f t="shared" si="13"/>
        <v>0</v>
      </c>
      <c r="T32" s="780"/>
      <c r="U32" s="790"/>
      <c r="V32" s="794"/>
      <c r="W32" s="781"/>
      <c r="X32" s="781"/>
      <c r="Y32" s="781"/>
      <c r="Z32" s="781"/>
      <c r="AA32" s="2159">
        <f t="shared" si="4"/>
        <v>0</v>
      </c>
      <c r="AB32" s="2166" t="s">
        <v>1622</v>
      </c>
      <c r="AC32" s="3166" t="s">
        <v>1636</v>
      </c>
      <c r="AD32" s="2243" t="s">
        <v>908</v>
      </c>
      <c r="AE32" s="794"/>
      <c r="AF32" s="790"/>
      <c r="AG32" s="794"/>
      <c r="AH32" s="781"/>
      <c r="AI32" s="781"/>
      <c r="AJ32" s="781"/>
      <c r="AK32" s="790"/>
      <c r="AL32" s="1443" t="s">
        <v>541</v>
      </c>
    </row>
    <row r="33" spans="1:38" ht="34.5" customHeight="1">
      <c r="A33" s="1674"/>
      <c r="B33" s="807">
        <v>20303</v>
      </c>
      <c r="C33" s="808">
        <v>0.1</v>
      </c>
      <c r="D33" s="2156" t="s">
        <v>543</v>
      </c>
      <c r="E33" s="780">
        <v>333</v>
      </c>
      <c r="F33" s="790"/>
      <c r="G33" s="794"/>
      <c r="H33" s="781"/>
      <c r="I33" s="781">
        <v>45</v>
      </c>
      <c r="J33" s="781">
        <v>267</v>
      </c>
      <c r="K33" s="781">
        <v>45</v>
      </c>
      <c r="L33" s="2158">
        <f t="shared" si="6"/>
        <v>357</v>
      </c>
      <c r="M33" s="1386">
        <f t="shared" si="7"/>
        <v>333</v>
      </c>
      <c r="N33" s="1387">
        <f t="shared" si="8"/>
        <v>0</v>
      </c>
      <c r="O33" s="1388">
        <f t="shared" si="9"/>
        <v>0</v>
      </c>
      <c r="P33" s="1389">
        <f t="shared" si="10"/>
        <v>0</v>
      </c>
      <c r="Q33" s="1389">
        <f t="shared" si="11"/>
        <v>45</v>
      </c>
      <c r="R33" s="1389">
        <f t="shared" si="12"/>
        <v>267</v>
      </c>
      <c r="S33" s="1390">
        <f t="shared" si="13"/>
        <v>45</v>
      </c>
      <c r="T33" s="780"/>
      <c r="U33" s="790"/>
      <c r="V33" s="794"/>
      <c r="W33" s="781"/>
      <c r="X33" s="781"/>
      <c r="Y33" s="781"/>
      <c r="Z33" s="781"/>
      <c r="AA33" s="2159">
        <f t="shared" si="4"/>
        <v>0</v>
      </c>
      <c r="AB33" s="2166"/>
      <c r="AC33" s="3166" t="s">
        <v>1636</v>
      </c>
      <c r="AD33" s="2243" t="s">
        <v>908</v>
      </c>
      <c r="AE33" s="794">
        <v>3</v>
      </c>
      <c r="AF33" s="790"/>
      <c r="AG33" s="794"/>
      <c r="AH33" s="781"/>
      <c r="AI33" s="781">
        <v>1</v>
      </c>
      <c r="AJ33" s="781">
        <v>3</v>
      </c>
      <c r="AK33" s="790">
        <v>1</v>
      </c>
      <c r="AL33" s="1443" t="s">
        <v>541</v>
      </c>
    </row>
    <row r="34" spans="1:38" ht="36.75" thickBot="1">
      <c r="A34" s="2248"/>
      <c r="B34" s="2249">
        <v>20306</v>
      </c>
      <c r="C34" s="2181">
        <v>0.1</v>
      </c>
      <c r="D34" s="2250" t="s">
        <v>965</v>
      </c>
      <c r="E34" s="784">
        <v>93</v>
      </c>
      <c r="F34" s="1824">
        <v>63</v>
      </c>
      <c r="G34" s="1825"/>
      <c r="H34" s="791"/>
      <c r="I34" s="791">
        <v>40</v>
      </c>
      <c r="J34" s="791">
        <v>35</v>
      </c>
      <c r="K34" s="791">
        <v>35</v>
      </c>
      <c r="L34" s="2251">
        <f t="shared" si="6"/>
        <v>110</v>
      </c>
      <c r="M34" s="2183">
        <f t="shared" si="7"/>
        <v>93</v>
      </c>
      <c r="N34" s="2184">
        <f t="shared" si="8"/>
        <v>63</v>
      </c>
      <c r="O34" s="2185">
        <f t="shared" si="9"/>
        <v>0</v>
      </c>
      <c r="P34" s="2186">
        <f t="shared" si="10"/>
        <v>0</v>
      </c>
      <c r="Q34" s="2186">
        <f t="shared" si="11"/>
        <v>40</v>
      </c>
      <c r="R34" s="2186">
        <f t="shared" si="12"/>
        <v>35</v>
      </c>
      <c r="S34" s="2187">
        <f t="shared" si="13"/>
        <v>35</v>
      </c>
      <c r="T34" s="784"/>
      <c r="U34" s="1824"/>
      <c r="V34" s="1825"/>
      <c r="W34" s="791"/>
      <c r="X34" s="791"/>
      <c r="Y34" s="791"/>
      <c r="Z34" s="791"/>
      <c r="AA34" s="2252">
        <f t="shared" si="4"/>
        <v>0</v>
      </c>
      <c r="AB34" s="2253"/>
      <c r="AC34" s="2254"/>
      <c r="AD34" s="2255" t="s">
        <v>908</v>
      </c>
      <c r="AE34" s="1825">
        <v>18</v>
      </c>
      <c r="AF34" s="1824">
        <v>12</v>
      </c>
      <c r="AG34" s="1825"/>
      <c r="AH34" s="791"/>
      <c r="AI34" s="791">
        <v>8</v>
      </c>
      <c r="AJ34" s="791">
        <v>7</v>
      </c>
      <c r="AK34" s="1824">
        <v>7</v>
      </c>
      <c r="AL34" s="2256" t="s">
        <v>898</v>
      </c>
    </row>
    <row r="35" spans="1:38" ht="27.75" customHeight="1" thickBot="1">
      <c r="A35" s="2224">
        <v>1.2</v>
      </c>
      <c r="B35" s="2224"/>
      <c r="C35" s="2225"/>
      <c r="D35" s="2226" t="s">
        <v>544</v>
      </c>
      <c r="E35" s="2227">
        <f t="shared" ref="E35:Z35" si="14">SUM(E36:E46)</f>
        <v>65</v>
      </c>
      <c r="F35" s="2228">
        <f t="shared" si="14"/>
        <v>193</v>
      </c>
      <c r="G35" s="2229">
        <f t="shared" si="14"/>
        <v>686</v>
      </c>
      <c r="H35" s="2230">
        <f t="shared" si="14"/>
        <v>155</v>
      </c>
      <c r="I35" s="2230">
        <f t="shared" si="14"/>
        <v>614</v>
      </c>
      <c r="J35" s="2230">
        <f t="shared" si="14"/>
        <v>1163</v>
      </c>
      <c r="K35" s="2231">
        <f t="shared" si="14"/>
        <v>925</v>
      </c>
      <c r="L35" s="2232">
        <f t="shared" si="14"/>
        <v>3543</v>
      </c>
      <c r="M35" s="2227">
        <f t="shared" si="14"/>
        <v>65</v>
      </c>
      <c r="N35" s="2228">
        <f t="shared" si="14"/>
        <v>193</v>
      </c>
      <c r="O35" s="2229">
        <f t="shared" si="14"/>
        <v>686</v>
      </c>
      <c r="P35" s="2230">
        <f t="shared" si="14"/>
        <v>155</v>
      </c>
      <c r="Q35" s="2230">
        <f t="shared" si="14"/>
        <v>614</v>
      </c>
      <c r="R35" s="2230">
        <f t="shared" si="14"/>
        <v>1163</v>
      </c>
      <c r="S35" s="2233">
        <f t="shared" si="14"/>
        <v>925</v>
      </c>
      <c r="T35" s="2227">
        <f t="shared" si="14"/>
        <v>0</v>
      </c>
      <c r="U35" s="2228">
        <f t="shared" si="14"/>
        <v>0</v>
      </c>
      <c r="V35" s="2229">
        <f t="shared" si="14"/>
        <v>0</v>
      </c>
      <c r="W35" s="2230">
        <f t="shared" si="14"/>
        <v>0</v>
      </c>
      <c r="X35" s="2230">
        <f t="shared" si="14"/>
        <v>0</v>
      </c>
      <c r="Y35" s="2230">
        <f t="shared" si="14"/>
        <v>0</v>
      </c>
      <c r="Z35" s="2231">
        <f t="shared" si="14"/>
        <v>0</v>
      </c>
      <c r="AA35" s="2263">
        <f t="shared" si="4"/>
        <v>0</v>
      </c>
      <c r="AB35" s="2264"/>
      <c r="AC35" s="2265"/>
      <c r="AD35" s="2266"/>
      <c r="AE35" s="2267"/>
      <c r="AF35" s="2267"/>
      <c r="AG35" s="2268"/>
      <c r="AH35" s="2268"/>
      <c r="AI35" s="2268"/>
      <c r="AJ35" s="2268"/>
      <c r="AK35" s="2269"/>
      <c r="AL35" s="2270"/>
    </row>
    <row r="36" spans="1:38" ht="22.5" customHeight="1">
      <c r="A36" s="2257"/>
      <c r="B36" s="2258">
        <v>2040207</v>
      </c>
      <c r="C36" s="2208">
        <v>0.04</v>
      </c>
      <c r="D36" s="2259" t="s">
        <v>545</v>
      </c>
      <c r="E36" s="2210"/>
      <c r="F36" s="2211"/>
      <c r="G36" s="2212"/>
      <c r="H36" s="2213"/>
      <c r="I36" s="2213"/>
      <c r="J36" s="2213"/>
      <c r="K36" s="2213"/>
      <c r="L36" s="2260">
        <f t="shared" si="6"/>
        <v>0</v>
      </c>
      <c r="M36" s="2215">
        <f t="shared" ref="M36:M46" si="15">E36-T36</f>
        <v>0</v>
      </c>
      <c r="N36" s="2216">
        <f t="shared" ref="N36:N46" si="16">F36-U36</f>
        <v>0</v>
      </c>
      <c r="O36" s="2217">
        <f t="shared" ref="O36:O46" si="17">G36-V36</f>
        <v>0</v>
      </c>
      <c r="P36" s="2218">
        <f t="shared" ref="P36:P46" si="18">H36-W36</f>
        <v>0</v>
      </c>
      <c r="Q36" s="2218">
        <f t="shared" ref="Q36:Q46" si="19">I36-X36</f>
        <v>0</v>
      </c>
      <c r="R36" s="2218">
        <f t="shared" ref="R36:R46" si="20">J36-Y36</f>
        <v>0</v>
      </c>
      <c r="S36" s="2219">
        <f t="shared" ref="S36:S46" si="21">K36-Z36</f>
        <v>0</v>
      </c>
      <c r="T36" s="2210"/>
      <c r="U36" s="2211"/>
      <c r="V36" s="2212"/>
      <c r="W36" s="2213"/>
      <c r="X36" s="2213"/>
      <c r="Y36" s="2213"/>
      <c r="Z36" s="2213"/>
      <c r="AA36" s="2261">
        <f t="shared" si="4"/>
        <v>0</v>
      </c>
      <c r="AB36" s="2221"/>
      <c r="AC36" s="2222"/>
      <c r="AD36" s="2242" t="s">
        <v>908</v>
      </c>
      <c r="AE36" s="2212"/>
      <c r="AF36" s="2211"/>
      <c r="AG36" s="2212"/>
      <c r="AH36" s="2213"/>
      <c r="AI36" s="2213"/>
      <c r="AJ36" s="2213"/>
      <c r="AK36" s="2211"/>
      <c r="AL36" s="2262" t="s">
        <v>1459</v>
      </c>
    </row>
    <row r="37" spans="1:38" ht="25.5">
      <c r="A37" s="813"/>
      <c r="B37" s="812">
        <v>2040206</v>
      </c>
      <c r="C37" s="810">
        <v>0.02</v>
      </c>
      <c r="D37" s="811" t="s">
        <v>887</v>
      </c>
      <c r="E37" s="780"/>
      <c r="F37" s="790"/>
      <c r="G37" s="794"/>
      <c r="H37" s="781"/>
      <c r="I37" s="781">
        <v>100</v>
      </c>
      <c r="J37" s="781">
        <f>100+20</f>
        <v>120</v>
      </c>
      <c r="K37" s="781">
        <f>100+10+5</f>
        <v>115</v>
      </c>
      <c r="L37" s="809">
        <f t="shared" si="6"/>
        <v>335</v>
      </c>
      <c r="M37" s="1386">
        <f t="shared" si="15"/>
        <v>0</v>
      </c>
      <c r="N37" s="1387">
        <f t="shared" si="16"/>
        <v>0</v>
      </c>
      <c r="O37" s="1388">
        <f t="shared" si="17"/>
        <v>0</v>
      </c>
      <c r="P37" s="1389">
        <f t="shared" si="18"/>
        <v>0</v>
      </c>
      <c r="Q37" s="1389">
        <f t="shared" si="19"/>
        <v>100</v>
      </c>
      <c r="R37" s="1389">
        <f t="shared" si="20"/>
        <v>120</v>
      </c>
      <c r="S37" s="1390">
        <f t="shared" si="21"/>
        <v>115</v>
      </c>
      <c r="T37" s="780"/>
      <c r="U37" s="790"/>
      <c r="V37" s="794"/>
      <c r="W37" s="781"/>
      <c r="X37" s="781"/>
      <c r="Y37" s="781"/>
      <c r="Z37" s="781"/>
      <c r="AA37" s="841">
        <f t="shared" si="4"/>
        <v>0</v>
      </c>
      <c r="AB37" s="2166" t="s">
        <v>1622</v>
      </c>
      <c r="AC37" s="3166" t="s">
        <v>1637</v>
      </c>
      <c r="AD37" s="2243" t="s">
        <v>909</v>
      </c>
      <c r="AE37" s="794"/>
      <c r="AF37" s="790"/>
      <c r="AG37" s="794"/>
      <c r="AH37" s="781"/>
      <c r="AI37" s="781">
        <v>200</v>
      </c>
      <c r="AJ37" s="781">
        <v>240</v>
      </c>
      <c r="AK37" s="790">
        <v>230</v>
      </c>
      <c r="AL37" s="1444" t="s">
        <v>897</v>
      </c>
    </row>
    <row r="38" spans="1:38" ht="25.5">
      <c r="A38" s="813"/>
      <c r="B38" s="812">
        <v>2040206</v>
      </c>
      <c r="C38" s="810">
        <v>0.02</v>
      </c>
      <c r="D38" s="811" t="s">
        <v>546</v>
      </c>
      <c r="E38" s="780"/>
      <c r="F38" s="790">
        <v>84</v>
      </c>
      <c r="G38" s="794"/>
      <c r="H38" s="781">
        <v>110</v>
      </c>
      <c r="I38" s="781">
        <v>310</v>
      </c>
      <c r="J38" s="781">
        <f>500+25+10</f>
        <v>535</v>
      </c>
      <c r="K38" s="781">
        <f>500+25+10</f>
        <v>535</v>
      </c>
      <c r="L38" s="809">
        <f t="shared" si="6"/>
        <v>1490</v>
      </c>
      <c r="M38" s="1386">
        <f t="shared" si="15"/>
        <v>0</v>
      </c>
      <c r="N38" s="1387">
        <f t="shared" si="16"/>
        <v>84</v>
      </c>
      <c r="O38" s="1388">
        <f t="shared" si="17"/>
        <v>0</v>
      </c>
      <c r="P38" s="1389">
        <f t="shared" si="18"/>
        <v>110</v>
      </c>
      <c r="Q38" s="1389">
        <f t="shared" si="19"/>
        <v>310</v>
      </c>
      <c r="R38" s="1389">
        <f t="shared" si="20"/>
        <v>535</v>
      </c>
      <c r="S38" s="1390">
        <f t="shared" si="21"/>
        <v>535</v>
      </c>
      <c r="T38" s="780"/>
      <c r="U38" s="790"/>
      <c r="V38" s="794"/>
      <c r="W38" s="781"/>
      <c r="X38" s="781"/>
      <c r="Y38" s="781"/>
      <c r="Z38" s="781"/>
      <c r="AA38" s="841">
        <f t="shared" si="4"/>
        <v>0</v>
      </c>
      <c r="AB38" s="2166" t="s">
        <v>1622</v>
      </c>
      <c r="AC38" s="3166" t="s">
        <v>1638</v>
      </c>
      <c r="AD38" s="2243" t="s">
        <v>909</v>
      </c>
      <c r="AE38" s="794"/>
      <c r="AF38" s="790"/>
      <c r="AG38" s="794"/>
      <c r="AH38" s="781">
        <v>410</v>
      </c>
      <c r="AI38" s="781">
        <v>1925</v>
      </c>
      <c r="AJ38" s="781">
        <v>1981</v>
      </c>
      <c r="AK38" s="790">
        <v>1981</v>
      </c>
      <c r="AL38" s="1443" t="s">
        <v>547</v>
      </c>
    </row>
    <row r="39" spans="1:38" ht="17.25" customHeight="1">
      <c r="A39" s="813"/>
      <c r="B39" s="812">
        <v>2040206</v>
      </c>
      <c r="C39" s="810">
        <v>0.02</v>
      </c>
      <c r="D39" s="1678" t="s">
        <v>548</v>
      </c>
      <c r="E39" s="780"/>
      <c r="F39" s="790"/>
      <c r="G39" s="794"/>
      <c r="H39" s="781">
        <v>45</v>
      </c>
      <c r="I39" s="781">
        <v>100</v>
      </c>
      <c r="J39" s="781">
        <f>110+10</f>
        <v>120</v>
      </c>
      <c r="K39" s="781">
        <f>110+10+5</f>
        <v>125</v>
      </c>
      <c r="L39" s="809">
        <f t="shared" si="6"/>
        <v>390</v>
      </c>
      <c r="M39" s="1386">
        <f t="shared" si="15"/>
        <v>0</v>
      </c>
      <c r="N39" s="1387">
        <f t="shared" si="16"/>
        <v>0</v>
      </c>
      <c r="O39" s="1388">
        <f t="shared" si="17"/>
        <v>0</v>
      </c>
      <c r="P39" s="1389">
        <f t="shared" si="18"/>
        <v>45</v>
      </c>
      <c r="Q39" s="1389">
        <f t="shared" si="19"/>
        <v>100</v>
      </c>
      <c r="R39" s="1389">
        <f t="shared" si="20"/>
        <v>120</v>
      </c>
      <c r="S39" s="1390">
        <f t="shared" si="21"/>
        <v>125</v>
      </c>
      <c r="T39" s="780"/>
      <c r="U39" s="790"/>
      <c r="V39" s="794"/>
      <c r="W39" s="781"/>
      <c r="X39" s="781"/>
      <c r="Y39" s="781"/>
      <c r="Z39" s="781"/>
      <c r="AA39" s="841">
        <f t="shared" si="4"/>
        <v>0</v>
      </c>
      <c r="AB39" s="2166" t="s">
        <v>1622</v>
      </c>
      <c r="AC39" s="2169" t="s">
        <v>1630</v>
      </c>
      <c r="AD39" s="2243" t="s">
        <v>908</v>
      </c>
      <c r="AE39" s="794"/>
      <c r="AF39" s="790"/>
      <c r="AG39" s="794"/>
      <c r="AH39" s="781">
        <v>60</v>
      </c>
      <c r="AI39" s="781">
        <v>133</v>
      </c>
      <c r="AJ39" s="781">
        <v>160</v>
      </c>
      <c r="AK39" s="790">
        <v>165</v>
      </c>
      <c r="AL39" s="1443" t="s">
        <v>532</v>
      </c>
    </row>
    <row r="40" spans="1:38" ht="17.25" customHeight="1">
      <c r="A40" s="813"/>
      <c r="B40" s="807">
        <v>2030503</v>
      </c>
      <c r="C40" s="808">
        <v>0.1</v>
      </c>
      <c r="D40" s="1678" t="s">
        <v>895</v>
      </c>
      <c r="E40" s="780"/>
      <c r="F40" s="790">
        <v>41</v>
      </c>
      <c r="G40" s="794"/>
      <c r="H40" s="781"/>
      <c r="I40" s="781">
        <v>50</v>
      </c>
      <c r="J40" s="781">
        <v>15</v>
      </c>
      <c r="K40" s="781">
        <v>15</v>
      </c>
      <c r="L40" s="809">
        <f t="shared" si="6"/>
        <v>80</v>
      </c>
      <c r="M40" s="1386">
        <f t="shared" si="15"/>
        <v>0</v>
      </c>
      <c r="N40" s="1387">
        <f t="shared" si="16"/>
        <v>41</v>
      </c>
      <c r="O40" s="1388">
        <f t="shared" si="17"/>
        <v>0</v>
      </c>
      <c r="P40" s="1389">
        <f t="shared" si="18"/>
        <v>0</v>
      </c>
      <c r="Q40" s="1389">
        <f t="shared" si="19"/>
        <v>50</v>
      </c>
      <c r="R40" s="1389">
        <f t="shared" si="20"/>
        <v>15</v>
      </c>
      <c r="S40" s="1390">
        <f t="shared" si="21"/>
        <v>15</v>
      </c>
      <c r="T40" s="780"/>
      <c r="U40" s="790"/>
      <c r="V40" s="794"/>
      <c r="W40" s="781"/>
      <c r="X40" s="781"/>
      <c r="Y40" s="781"/>
      <c r="Z40" s="781"/>
      <c r="AA40" s="841">
        <f t="shared" si="4"/>
        <v>0</v>
      </c>
      <c r="AB40" s="2166" t="s">
        <v>1622</v>
      </c>
      <c r="AC40" s="3166" t="s">
        <v>1634</v>
      </c>
      <c r="AD40" s="2243" t="s">
        <v>908</v>
      </c>
      <c r="AE40" s="794"/>
      <c r="AF40" s="790"/>
      <c r="AG40" s="794"/>
      <c r="AH40" s="781"/>
      <c r="AI40" s="781">
        <v>4</v>
      </c>
      <c r="AJ40" s="781">
        <v>1</v>
      </c>
      <c r="AK40" s="790">
        <v>1</v>
      </c>
      <c r="AL40" s="1443" t="s">
        <v>537</v>
      </c>
    </row>
    <row r="41" spans="1:38" ht="38.25">
      <c r="A41" s="813"/>
      <c r="B41" s="807">
        <v>215</v>
      </c>
      <c r="C41" s="1689">
        <v>0.2</v>
      </c>
      <c r="D41" s="1678" t="s">
        <v>549</v>
      </c>
      <c r="E41" s="780"/>
      <c r="F41" s="790"/>
      <c r="G41" s="794"/>
      <c r="H41" s="781"/>
      <c r="I41" s="781">
        <v>20</v>
      </c>
      <c r="J41" s="781">
        <v>20</v>
      </c>
      <c r="K41" s="781">
        <v>20</v>
      </c>
      <c r="L41" s="809">
        <f t="shared" si="6"/>
        <v>60</v>
      </c>
      <c r="M41" s="1386">
        <f t="shared" si="15"/>
        <v>0</v>
      </c>
      <c r="N41" s="1387">
        <f t="shared" si="16"/>
        <v>0</v>
      </c>
      <c r="O41" s="1388">
        <f t="shared" si="17"/>
        <v>0</v>
      </c>
      <c r="P41" s="1389">
        <f t="shared" si="18"/>
        <v>0</v>
      </c>
      <c r="Q41" s="1389">
        <f t="shared" si="19"/>
        <v>20</v>
      </c>
      <c r="R41" s="1389">
        <f t="shared" si="20"/>
        <v>20</v>
      </c>
      <c r="S41" s="1390">
        <f t="shared" si="21"/>
        <v>20</v>
      </c>
      <c r="T41" s="780"/>
      <c r="U41" s="790"/>
      <c r="V41" s="794"/>
      <c r="W41" s="781"/>
      <c r="X41" s="781"/>
      <c r="Y41" s="781"/>
      <c r="Z41" s="781"/>
      <c r="AA41" s="841">
        <f t="shared" si="4"/>
        <v>0</v>
      </c>
      <c r="AB41" s="2166" t="s">
        <v>1622</v>
      </c>
      <c r="AC41" s="3166" t="s">
        <v>1639</v>
      </c>
      <c r="AD41" s="1377" t="s">
        <v>380</v>
      </c>
      <c r="AE41" s="3167"/>
      <c r="AF41" s="3168"/>
      <c r="AG41" s="3167"/>
      <c r="AH41" s="3169"/>
      <c r="AI41" s="3169"/>
      <c r="AJ41" s="3169"/>
      <c r="AK41" s="3168"/>
      <c r="AL41" s="1443" t="s">
        <v>536</v>
      </c>
    </row>
    <row r="42" spans="1:38" ht="24">
      <c r="A42" s="1675"/>
      <c r="B42" s="812">
        <v>20502</v>
      </c>
      <c r="C42" s="810">
        <v>0.1</v>
      </c>
      <c r="D42" s="1678" t="s">
        <v>550</v>
      </c>
      <c r="E42" s="780">
        <v>32</v>
      </c>
      <c r="F42" s="790"/>
      <c r="G42" s="794"/>
      <c r="H42" s="781"/>
      <c r="I42" s="781">
        <v>30</v>
      </c>
      <c r="J42" s="781"/>
      <c r="K42" s="781"/>
      <c r="L42" s="809">
        <f t="shared" si="6"/>
        <v>30</v>
      </c>
      <c r="M42" s="1386">
        <f t="shared" si="15"/>
        <v>32</v>
      </c>
      <c r="N42" s="1387">
        <f t="shared" si="16"/>
        <v>0</v>
      </c>
      <c r="O42" s="1388">
        <f t="shared" si="17"/>
        <v>0</v>
      </c>
      <c r="P42" s="1389">
        <f t="shared" si="18"/>
        <v>0</v>
      </c>
      <c r="Q42" s="1389">
        <f t="shared" si="19"/>
        <v>30</v>
      </c>
      <c r="R42" s="1389">
        <f t="shared" si="20"/>
        <v>0</v>
      </c>
      <c r="S42" s="1390">
        <f t="shared" si="21"/>
        <v>0</v>
      </c>
      <c r="T42" s="780"/>
      <c r="U42" s="790"/>
      <c r="V42" s="794"/>
      <c r="W42" s="781"/>
      <c r="X42" s="781"/>
      <c r="Y42" s="781"/>
      <c r="Z42" s="781"/>
      <c r="AA42" s="841">
        <f t="shared" si="4"/>
        <v>0</v>
      </c>
      <c r="AB42" s="2166" t="s">
        <v>1622</v>
      </c>
      <c r="AC42" s="2169"/>
      <c r="AD42" s="2243" t="s">
        <v>908</v>
      </c>
      <c r="AE42" s="794">
        <v>1</v>
      </c>
      <c r="AF42" s="790"/>
      <c r="AG42" s="794"/>
      <c r="AH42" s="781"/>
      <c r="AI42" s="781">
        <v>1</v>
      </c>
      <c r="AJ42" s="781"/>
      <c r="AK42" s="790"/>
      <c r="AL42" s="1443" t="s">
        <v>541</v>
      </c>
    </row>
    <row r="43" spans="1:38" ht="24">
      <c r="A43" s="1675"/>
      <c r="B43" s="812">
        <v>20501</v>
      </c>
      <c r="C43" s="810">
        <v>0.08</v>
      </c>
      <c r="D43" s="1678" t="s">
        <v>551</v>
      </c>
      <c r="E43" s="780">
        <v>24</v>
      </c>
      <c r="F43" s="790"/>
      <c r="G43" s="794"/>
      <c r="H43" s="781"/>
      <c r="I43" s="781"/>
      <c r="J43" s="781">
        <v>127</v>
      </c>
      <c r="K43" s="781"/>
      <c r="L43" s="809">
        <f t="shared" si="6"/>
        <v>127</v>
      </c>
      <c r="M43" s="1386">
        <f t="shared" si="15"/>
        <v>24</v>
      </c>
      <c r="N43" s="1387">
        <f t="shared" si="16"/>
        <v>0</v>
      </c>
      <c r="O43" s="1388">
        <f t="shared" si="17"/>
        <v>0</v>
      </c>
      <c r="P43" s="1389">
        <f t="shared" si="18"/>
        <v>0</v>
      </c>
      <c r="Q43" s="1389">
        <f t="shared" si="19"/>
        <v>0</v>
      </c>
      <c r="R43" s="1389">
        <f t="shared" si="20"/>
        <v>127</v>
      </c>
      <c r="S43" s="1390">
        <f t="shared" si="21"/>
        <v>0</v>
      </c>
      <c r="T43" s="780"/>
      <c r="U43" s="790"/>
      <c r="V43" s="794"/>
      <c r="W43" s="781"/>
      <c r="X43" s="781"/>
      <c r="Y43" s="781"/>
      <c r="Z43" s="781"/>
      <c r="AA43" s="841">
        <f t="shared" si="4"/>
        <v>0</v>
      </c>
      <c r="AB43" s="2166" t="s">
        <v>1622</v>
      </c>
      <c r="AC43" s="2169"/>
      <c r="AD43" s="2243" t="s">
        <v>908</v>
      </c>
      <c r="AE43" s="794">
        <v>1</v>
      </c>
      <c r="AF43" s="790"/>
      <c r="AG43" s="794"/>
      <c r="AH43" s="781"/>
      <c r="AI43" s="781"/>
      <c r="AJ43" s="781">
        <v>2</v>
      </c>
      <c r="AK43" s="790"/>
      <c r="AL43" s="1443" t="s">
        <v>541</v>
      </c>
    </row>
    <row r="44" spans="1:38" ht="38.25">
      <c r="A44" s="1675"/>
      <c r="B44" s="812">
        <v>20503</v>
      </c>
      <c r="C44" s="810">
        <v>0.1</v>
      </c>
      <c r="D44" s="1678" t="s">
        <v>904</v>
      </c>
      <c r="E44" s="780"/>
      <c r="F44" s="790"/>
      <c r="G44" s="794"/>
      <c r="H44" s="781"/>
      <c r="I44" s="781"/>
      <c r="J44" s="781"/>
      <c r="K44" s="781"/>
      <c r="L44" s="809">
        <f t="shared" si="6"/>
        <v>0</v>
      </c>
      <c r="M44" s="1386">
        <f t="shared" si="15"/>
        <v>0</v>
      </c>
      <c r="N44" s="1387">
        <f t="shared" si="16"/>
        <v>0</v>
      </c>
      <c r="O44" s="1388">
        <f t="shared" si="17"/>
        <v>0</v>
      </c>
      <c r="P44" s="1389">
        <f t="shared" si="18"/>
        <v>0</v>
      </c>
      <c r="Q44" s="1389">
        <f t="shared" si="19"/>
        <v>0</v>
      </c>
      <c r="R44" s="1389">
        <f t="shared" si="20"/>
        <v>0</v>
      </c>
      <c r="S44" s="1390">
        <f t="shared" si="21"/>
        <v>0</v>
      </c>
      <c r="T44" s="780"/>
      <c r="U44" s="790"/>
      <c r="V44" s="794"/>
      <c r="W44" s="781"/>
      <c r="X44" s="781"/>
      <c r="Y44" s="781"/>
      <c r="Z44" s="781"/>
      <c r="AA44" s="841">
        <f t="shared" si="4"/>
        <v>0</v>
      </c>
      <c r="AB44" s="2166"/>
      <c r="AC44" s="3166" t="s">
        <v>1640</v>
      </c>
      <c r="AD44" s="2243" t="s">
        <v>908</v>
      </c>
      <c r="AE44" s="794"/>
      <c r="AF44" s="790"/>
      <c r="AG44" s="794"/>
      <c r="AH44" s="781"/>
      <c r="AI44" s="781"/>
      <c r="AJ44" s="781"/>
      <c r="AK44" s="790"/>
      <c r="AL44" s="1443" t="s">
        <v>541</v>
      </c>
    </row>
    <row r="45" spans="1:38" ht="36">
      <c r="A45" s="1675"/>
      <c r="B45" s="812">
        <v>20303</v>
      </c>
      <c r="C45" s="808">
        <v>0.1</v>
      </c>
      <c r="D45" s="811" t="s">
        <v>888</v>
      </c>
      <c r="E45" s="780"/>
      <c r="F45" s="790">
        <v>11</v>
      </c>
      <c r="G45" s="794">
        <v>686</v>
      </c>
      <c r="H45" s="781"/>
      <c r="I45" s="781"/>
      <c r="J45" s="781">
        <v>222</v>
      </c>
      <c r="K45" s="781">
        <v>111</v>
      </c>
      <c r="L45" s="809">
        <f t="shared" si="6"/>
        <v>1019</v>
      </c>
      <c r="M45" s="1386">
        <f t="shared" si="15"/>
        <v>0</v>
      </c>
      <c r="N45" s="1387">
        <f t="shared" si="16"/>
        <v>11</v>
      </c>
      <c r="O45" s="1388">
        <f t="shared" si="17"/>
        <v>686</v>
      </c>
      <c r="P45" s="1389">
        <f t="shared" si="18"/>
        <v>0</v>
      </c>
      <c r="Q45" s="1389">
        <f t="shared" si="19"/>
        <v>0</v>
      </c>
      <c r="R45" s="1389">
        <f t="shared" si="20"/>
        <v>222</v>
      </c>
      <c r="S45" s="1390">
        <f t="shared" si="21"/>
        <v>111</v>
      </c>
      <c r="T45" s="780"/>
      <c r="U45" s="790"/>
      <c r="V45" s="794"/>
      <c r="W45" s="781"/>
      <c r="X45" s="781"/>
      <c r="Y45" s="781"/>
      <c r="Z45" s="781"/>
      <c r="AA45" s="841">
        <f t="shared" si="4"/>
        <v>0</v>
      </c>
      <c r="AB45" s="2166" t="s">
        <v>1622</v>
      </c>
      <c r="AC45" s="2169"/>
      <c r="AD45" s="2243" t="s">
        <v>908</v>
      </c>
      <c r="AE45" s="794"/>
      <c r="AF45" s="790"/>
      <c r="AG45" s="794">
        <v>1</v>
      </c>
      <c r="AH45" s="781"/>
      <c r="AI45" s="781"/>
      <c r="AJ45" s="781">
        <v>2</v>
      </c>
      <c r="AK45" s="790">
        <v>1</v>
      </c>
      <c r="AL45" s="1444" t="s">
        <v>1458</v>
      </c>
    </row>
    <row r="46" spans="1:38" ht="36.75" thickBot="1">
      <c r="A46" s="2179"/>
      <c r="B46" s="2271">
        <v>20306</v>
      </c>
      <c r="C46" s="2181">
        <v>0.1</v>
      </c>
      <c r="D46" s="2182" t="s">
        <v>964</v>
      </c>
      <c r="E46" s="784">
        <v>9</v>
      </c>
      <c r="F46" s="1824">
        <v>57</v>
      </c>
      <c r="G46" s="1825"/>
      <c r="H46" s="791"/>
      <c r="I46" s="791">
        <v>4</v>
      </c>
      <c r="J46" s="791">
        <v>4</v>
      </c>
      <c r="K46" s="791">
        <v>4</v>
      </c>
      <c r="L46" s="1439">
        <f t="shared" si="6"/>
        <v>12</v>
      </c>
      <c r="M46" s="2183">
        <f t="shared" si="15"/>
        <v>9</v>
      </c>
      <c r="N46" s="2184">
        <f t="shared" si="16"/>
        <v>57</v>
      </c>
      <c r="O46" s="2185">
        <f t="shared" si="17"/>
        <v>0</v>
      </c>
      <c r="P46" s="2186">
        <f t="shared" si="18"/>
        <v>0</v>
      </c>
      <c r="Q46" s="2186">
        <f t="shared" si="19"/>
        <v>4</v>
      </c>
      <c r="R46" s="2186">
        <f t="shared" si="20"/>
        <v>4</v>
      </c>
      <c r="S46" s="2187">
        <f t="shared" si="21"/>
        <v>4</v>
      </c>
      <c r="T46" s="784"/>
      <c r="U46" s="1824"/>
      <c r="V46" s="1825"/>
      <c r="W46" s="791"/>
      <c r="X46" s="791"/>
      <c r="Y46" s="791"/>
      <c r="Z46" s="791"/>
      <c r="AA46" s="2188">
        <f t="shared" si="4"/>
        <v>0</v>
      </c>
      <c r="AB46" s="2253"/>
      <c r="AC46" s="2254"/>
      <c r="AD46" s="2255" t="s">
        <v>908</v>
      </c>
      <c r="AE46" s="1825">
        <v>2</v>
      </c>
      <c r="AF46" s="1824">
        <v>1</v>
      </c>
      <c r="AG46" s="1825"/>
      <c r="AH46" s="791"/>
      <c r="AI46" s="791">
        <v>1</v>
      </c>
      <c r="AJ46" s="791">
        <v>1</v>
      </c>
      <c r="AK46" s="1824">
        <v>1</v>
      </c>
      <c r="AL46" s="2256" t="s">
        <v>1457</v>
      </c>
    </row>
    <row r="47" spans="1:38" ht="24.75" thickBot="1">
      <c r="A47" s="2224">
        <v>1.3</v>
      </c>
      <c r="B47" s="2224"/>
      <c r="C47" s="2225"/>
      <c r="D47" s="2226" t="s">
        <v>552</v>
      </c>
      <c r="E47" s="2227">
        <f t="shared" ref="E47:K47" si="22">SUM(E48:E55)</f>
        <v>105</v>
      </c>
      <c r="F47" s="2228">
        <f t="shared" si="22"/>
        <v>174</v>
      </c>
      <c r="G47" s="2229">
        <f t="shared" si="22"/>
        <v>48</v>
      </c>
      <c r="H47" s="2230">
        <f t="shared" si="22"/>
        <v>228</v>
      </c>
      <c r="I47" s="2230">
        <f t="shared" si="22"/>
        <v>115</v>
      </c>
      <c r="J47" s="2230">
        <f t="shared" si="22"/>
        <v>75</v>
      </c>
      <c r="K47" s="2231">
        <f t="shared" si="22"/>
        <v>73</v>
      </c>
      <c r="L47" s="2232">
        <f t="shared" ref="L47:Z47" si="23">SUM(L48:L55)</f>
        <v>539</v>
      </c>
      <c r="M47" s="2227">
        <f t="shared" si="23"/>
        <v>105</v>
      </c>
      <c r="N47" s="2228">
        <f t="shared" si="23"/>
        <v>174</v>
      </c>
      <c r="O47" s="2229">
        <f t="shared" si="23"/>
        <v>48</v>
      </c>
      <c r="P47" s="2230">
        <f t="shared" si="23"/>
        <v>228</v>
      </c>
      <c r="Q47" s="2230">
        <f t="shared" si="23"/>
        <v>115</v>
      </c>
      <c r="R47" s="2230">
        <f t="shared" si="23"/>
        <v>75</v>
      </c>
      <c r="S47" s="2233">
        <f t="shared" si="23"/>
        <v>73</v>
      </c>
      <c r="T47" s="2227">
        <f t="shared" si="23"/>
        <v>0</v>
      </c>
      <c r="U47" s="2228">
        <f t="shared" si="23"/>
        <v>0</v>
      </c>
      <c r="V47" s="2229">
        <f t="shared" si="23"/>
        <v>0</v>
      </c>
      <c r="W47" s="2230">
        <f t="shared" si="23"/>
        <v>0</v>
      </c>
      <c r="X47" s="2230">
        <f t="shared" si="23"/>
        <v>0</v>
      </c>
      <c r="Y47" s="2230">
        <f t="shared" si="23"/>
        <v>0</v>
      </c>
      <c r="Z47" s="2231">
        <f t="shared" si="23"/>
        <v>0</v>
      </c>
      <c r="AA47" s="2263">
        <f t="shared" si="4"/>
        <v>0</v>
      </c>
      <c r="AB47" s="2264"/>
      <c r="AC47" s="2265"/>
      <c r="AD47" s="2266"/>
      <c r="AE47" s="2267"/>
      <c r="AF47" s="2267"/>
      <c r="AG47" s="2268"/>
      <c r="AH47" s="2268"/>
      <c r="AI47" s="2268"/>
      <c r="AJ47" s="2268"/>
      <c r="AK47" s="2269"/>
      <c r="AL47" s="2270"/>
    </row>
    <row r="48" spans="1:38" ht="15.75" customHeight="1">
      <c r="A48" s="2206"/>
      <c r="B48" s="2258">
        <v>2040207</v>
      </c>
      <c r="C48" s="2208">
        <v>0.04</v>
      </c>
      <c r="D48" s="2272" t="s">
        <v>553</v>
      </c>
      <c r="E48" s="2210"/>
      <c r="F48" s="2211">
        <v>120</v>
      </c>
      <c r="G48" s="2212">
        <v>34</v>
      </c>
      <c r="H48" s="2213">
        <v>118</v>
      </c>
      <c r="I48" s="2213">
        <v>70</v>
      </c>
      <c r="J48" s="2213">
        <v>35</v>
      </c>
      <c r="K48" s="2213">
        <v>20</v>
      </c>
      <c r="L48" s="2260">
        <f t="shared" si="6"/>
        <v>277</v>
      </c>
      <c r="M48" s="2215">
        <f t="shared" ref="M48:M55" si="24">E48-T48</f>
        <v>0</v>
      </c>
      <c r="N48" s="2216">
        <f t="shared" ref="N48:N55" si="25">F48-U48</f>
        <v>120</v>
      </c>
      <c r="O48" s="2217">
        <f t="shared" ref="O48:O55" si="26">G48-V48</f>
        <v>34</v>
      </c>
      <c r="P48" s="2218">
        <f t="shared" ref="P48:P55" si="27">H48-W48</f>
        <v>118</v>
      </c>
      <c r="Q48" s="2218">
        <f t="shared" ref="Q48:Q55" si="28">I48-X48</f>
        <v>70</v>
      </c>
      <c r="R48" s="2218">
        <f t="shared" ref="R48:R55" si="29">J48-Y48</f>
        <v>35</v>
      </c>
      <c r="S48" s="2219">
        <f t="shared" ref="S48:S55" si="30">K48-Z48</f>
        <v>20</v>
      </c>
      <c r="T48" s="2210"/>
      <c r="U48" s="2211"/>
      <c r="V48" s="2212"/>
      <c r="W48" s="2213"/>
      <c r="X48" s="2213"/>
      <c r="Y48" s="2213"/>
      <c r="Z48" s="2213"/>
      <c r="AA48" s="2261">
        <f t="shared" si="4"/>
        <v>0</v>
      </c>
      <c r="AB48" s="2221"/>
      <c r="AC48" s="2222"/>
      <c r="AD48" s="2242" t="s">
        <v>908</v>
      </c>
      <c r="AE48" s="2212"/>
      <c r="AF48" s="2211"/>
      <c r="AG48" s="2212">
        <v>4</v>
      </c>
      <c r="AH48" s="2213">
        <v>6</v>
      </c>
      <c r="AI48" s="2213">
        <v>4</v>
      </c>
      <c r="AJ48" s="2213">
        <v>2</v>
      </c>
      <c r="AK48" s="2211">
        <v>1</v>
      </c>
      <c r="AL48" s="2262" t="s">
        <v>1460</v>
      </c>
    </row>
    <row r="49" spans="1:38" ht="15.75" customHeight="1">
      <c r="A49" s="1673"/>
      <c r="B49" s="812">
        <v>20302</v>
      </c>
      <c r="C49" s="808">
        <v>0.1</v>
      </c>
      <c r="D49" s="1678" t="s">
        <v>554</v>
      </c>
      <c r="E49" s="780"/>
      <c r="F49" s="790"/>
      <c r="G49" s="794"/>
      <c r="H49" s="781"/>
      <c r="I49" s="781">
        <v>10</v>
      </c>
      <c r="J49" s="781">
        <v>5</v>
      </c>
      <c r="K49" s="781">
        <v>18</v>
      </c>
      <c r="L49" s="809">
        <f t="shared" si="6"/>
        <v>33</v>
      </c>
      <c r="M49" s="1386">
        <f t="shared" si="24"/>
        <v>0</v>
      </c>
      <c r="N49" s="1387">
        <f t="shared" si="25"/>
        <v>0</v>
      </c>
      <c r="O49" s="1388">
        <f t="shared" si="26"/>
        <v>0</v>
      </c>
      <c r="P49" s="1389">
        <f t="shared" si="27"/>
        <v>0</v>
      </c>
      <c r="Q49" s="1389">
        <f t="shared" si="28"/>
        <v>10</v>
      </c>
      <c r="R49" s="1389">
        <f t="shared" si="29"/>
        <v>5</v>
      </c>
      <c r="S49" s="1390">
        <f t="shared" si="30"/>
        <v>18</v>
      </c>
      <c r="T49" s="780"/>
      <c r="U49" s="790"/>
      <c r="V49" s="794"/>
      <c r="W49" s="781"/>
      <c r="X49" s="781"/>
      <c r="Y49" s="781"/>
      <c r="Z49" s="781"/>
      <c r="AA49" s="841">
        <f t="shared" si="4"/>
        <v>0</v>
      </c>
      <c r="AB49" s="2166"/>
      <c r="AC49" s="2169"/>
      <c r="AD49" s="2243" t="s">
        <v>908</v>
      </c>
      <c r="AE49" s="794"/>
      <c r="AF49" s="790">
        <v>1</v>
      </c>
      <c r="AG49" s="794"/>
      <c r="AH49" s="781"/>
      <c r="AI49" s="781">
        <v>2</v>
      </c>
      <c r="AJ49" s="781">
        <v>1</v>
      </c>
      <c r="AK49" s="790">
        <v>3</v>
      </c>
      <c r="AL49" s="1444" t="s">
        <v>539</v>
      </c>
    </row>
    <row r="50" spans="1:38" ht="15.75" customHeight="1">
      <c r="A50" s="1673"/>
      <c r="B50" s="807">
        <v>2030503</v>
      </c>
      <c r="C50" s="808">
        <v>0.1</v>
      </c>
      <c r="D50" s="1678" t="s">
        <v>899</v>
      </c>
      <c r="E50" s="780"/>
      <c r="F50" s="790">
        <v>30</v>
      </c>
      <c r="G50" s="794"/>
      <c r="H50" s="781"/>
      <c r="I50" s="781"/>
      <c r="J50" s="781"/>
      <c r="K50" s="781"/>
      <c r="L50" s="809">
        <f t="shared" si="6"/>
        <v>0</v>
      </c>
      <c r="M50" s="1386">
        <f t="shared" si="24"/>
        <v>0</v>
      </c>
      <c r="N50" s="1387">
        <f t="shared" si="25"/>
        <v>30</v>
      </c>
      <c r="O50" s="1388">
        <f t="shared" si="26"/>
        <v>0</v>
      </c>
      <c r="P50" s="1389">
        <f t="shared" si="27"/>
        <v>0</v>
      </c>
      <c r="Q50" s="1389">
        <f t="shared" si="28"/>
        <v>0</v>
      </c>
      <c r="R50" s="1389">
        <f t="shared" si="29"/>
        <v>0</v>
      </c>
      <c r="S50" s="1390">
        <f t="shared" si="30"/>
        <v>0</v>
      </c>
      <c r="T50" s="780"/>
      <c r="U50" s="790"/>
      <c r="V50" s="794"/>
      <c r="W50" s="781"/>
      <c r="X50" s="781"/>
      <c r="Y50" s="781"/>
      <c r="Z50" s="781"/>
      <c r="AA50" s="841">
        <f t="shared" si="4"/>
        <v>0</v>
      </c>
      <c r="AB50" s="2166"/>
      <c r="AC50" s="2169"/>
      <c r="AD50" s="2243" t="s">
        <v>908</v>
      </c>
      <c r="AE50" s="794"/>
      <c r="AF50" s="790"/>
      <c r="AG50" s="794"/>
      <c r="AH50" s="781"/>
      <c r="AI50" s="781"/>
      <c r="AJ50" s="781"/>
      <c r="AK50" s="790"/>
      <c r="AL50" s="1444" t="s">
        <v>537</v>
      </c>
    </row>
    <row r="51" spans="1:38" ht="24">
      <c r="A51" s="1674"/>
      <c r="B51" s="812">
        <v>20502</v>
      </c>
      <c r="C51" s="808">
        <v>0.1</v>
      </c>
      <c r="D51" s="1678" t="s">
        <v>555</v>
      </c>
      <c r="E51" s="780">
        <v>45</v>
      </c>
      <c r="F51" s="790"/>
      <c r="G51" s="794"/>
      <c r="H51" s="781">
        <v>60</v>
      </c>
      <c r="I51" s="781"/>
      <c r="J51" s="781"/>
      <c r="K51" s="781"/>
      <c r="L51" s="809">
        <f t="shared" si="6"/>
        <v>60</v>
      </c>
      <c r="M51" s="1386">
        <f t="shared" si="24"/>
        <v>45</v>
      </c>
      <c r="N51" s="1387">
        <f t="shared" si="25"/>
        <v>0</v>
      </c>
      <c r="O51" s="1388">
        <f t="shared" si="26"/>
        <v>0</v>
      </c>
      <c r="P51" s="1389">
        <f t="shared" si="27"/>
        <v>60</v>
      </c>
      <c r="Q51" s="1389">
        <f t="shared" si="28"/>
        <v>0</v>
      </c>
      <c r="R51" s="1389">
        <f t="shared" si="29"/>
        <v>0</v>
      </c>
      <c r="S51" s="1390">
        <f t="shared" si="30"/>
        <v>0</v>
      </c>
      <c r="T51" s="780"/>
      <c r="U51" s="790"/>
      <c r="V51" s="794"/>
      <c r="W51" s="781"/>
      <c r="X51" s="781"/>
      <c r="Y51" s="781"/>
      <c r="Z51" s="781"/>
      <c r="AA51" s="841">
        <f t="shared" si="4"/>
        <v>0</v>
      </c>
      <c r="AB51" s="2166"/>
      <c r="AC51" s="2169"/>
      <c r="AD51" s="2243" t="s">
        <v>908</v>
      </c>
      <c r="AE51" s="794">
        <v>1</v>
      </c>
      <c r="AF51" s="790"/>
      <c r="AG51" s="794"/>
      <c r="AH51" s="781">
        <v>3</v>
      </c>
      <c r="AI51" s="781"/>
      <c r="AJ51" s="781"/>
      <c r="AK51" s="790"/>
      <c r="AL51" s="1444" t="s">
        <v>541</v>
      </c>
    </row>
    <row r="52" spans="1:38" ht="24">
      <c r="A52" s="1674"/>
      <c r="B52" s="812">
        <v>20501</v>
      </c>
      <c r="C52" s="808">
        <v>0.08</v>
      </c>
      <c r="D52" s="811" t="s">
        <v>556</v>
      </c>
      <c r="E52" s="780">
        <v>33</v>
      </c>
      <c r="F52" s="790"/>
      <c r="G52" s="794"/>
      <c r="H52" s="781"/>
      <c r="I52" s="781"/>
      <c r="J52" s="781"/>
      <c r="K52" s="781"/>
      <c r="L52" s="809">
        <f t="shared" si="6"/>
        <v>0</v>
      </c>
      <c r="M52" s="1386">
        <f t="shared" si="24"/>
        <v>33</v>
      </c>
      <c r="N52" s="1387">
        <f t="shared" si="25"/>
        <v>0</v>
      </c>
      <c r="O52" s="1388">
        <f t="shared" si="26"/>
        <v>0</v>
      </c>
      <c r="P52" s="1389">
        <f t="shared" si="27"/>
        <v>0</v>
      </c>
      <c r="Q52" s="1389">
        <f t="shared" si="28"/>
        <v>0</v>
      </c>
      <c r="R52" s="1389">
        <f t="shared" si="29"/>
        <v>0</v>
      </c>
      <c r="S52" s="1390">
        <f t="shared" si="30"/>
        <v>0</v>
      </c>
      <c r="T52" s="780"/>
      <c r="U52" s="790"/>
      <c r="V52" s="794"/>
      <c r="W52" s="781"/>
      <c r="X52" s="781"/>
      <c r="Y52" s="781"/>
      <c r="Z52" s="781"/>
      <c r="AA52" s="841">
        <f t="shared" si="4"/>
        <v>0</v>
      </c>
      <c r="AB52" s="2166"/>
      <c r="AC52" s="2169"/>
      <c r="AD52" s="2243" t="s">
        <v>908</v>
      </c>
      <c r="AE52" s="794">
        <v>1</v>
      </c>
      <c r="AF52" s="790"/>
      <c r="AG52" s="794"/>
      <c r="AH52" s="781"/>
      <c r="AI52" s="781"/>
      <c r="AJ52" s="781"/>
      <c r="AK52" s="790"/>
      <c r="AL52" s="1443" t="s">
        <v>541</v>
      </c>
    </row>
    <row r="53" spans="1:38" ht="38.25">
      <c r="A53" s="1674"/>
      <c r="B53" s="812">
        <v>20503</v>
      </c>
      <c r="C53" s="808">
        <v>0.1</v>
      </c>
      <c r="D53" s="811" t="s">
        <v>905</v>
      </c>
      <c r="E53" s="780"/>
      <c r="F53" s="790"/>
      <c r="G53" s="794"/>
      <c r="H53" s="781">
        <v>10</v>
      </c>
      <c r="I53" s="781"/>
      <c r="J53" s="781"/>
      <c r="K53" s="781"/>
      <c r="L53" s="809">
        <f t="shared" si="6"/>
        <v>10</v>
      </c>
      <c r="M53" s="1386">
        <f t="shared" si="24"/>
        <v>0</v>
      </c>
      <c r="N53" s="1387">
        <f t="shared" si="25"/>
        <v>0</v>
      </c>
      <c r="O53" s="1388">
        <f t="shared" si="26"/>
        <v>0</v>
      </c>
      <c r="P53" s="1389">
        <f t="shared" si="27"/>
        <v>10</v>
      </c>
      <c r="Q53" s="1389">
        <f t="shared" si="28"/>
        <v>0</v>
      </c>
      <c r="R53" s="1389">
        <f t="shared" si="29"/>
        <v>0</v>
      </c>
      <c r="S53" s="1390">
        <f t="shared" si="30"/>
        <v>0</v>
      </c>
      <c r="T53" s="780"/>
      <c r="U53" s="790"/>
      <c r="V53" s="794"/>
      <c r="W53" s="781"/>
      <c r="X53" s="781"/>
      <c r="Y53" s="781"/>
      <c r="Z53" s="781"/>
      <c r="AA53" s="841">
        <f t="shared" si="4"/>
        <v>0</v>
      </c>
      <c r="AB53" s="2166"/>
      <c r="AC53" s="3166" t="s">
        <v>1640</v>
      </c>
      <c r="AD53" s="2243" t="s">
        <v>908</v>
      </c>
      <c r="AE53" s="794"/>
      <c r="AF53" s="790"/>
      <c r="AG53" s="794"/>
      <c r="AH53" s="781">
        <v>1</v>
      </c>
      <c r="AI53" s="781"/>
      <c r="AJ53" s="781"/>
      <c r="AK53" s="790"/>
      <c r="AL53" s="1443" t="s">
        <v>541</v>
      </c>
    </row>
    <row r="54" spans="1:38" ht="24">
      <c r="A54" s="1674"/>
      <c r="B54" s="812">
        <v>20303</v>
      </c>
      <c r="C54" s="808">
        <v>0.1</v>
      </c>
      <c r="D54" s="811" t="s">
        <v>557</v>
      </c>
      <c r="E54" s="780"/>
      <c r="F54" s="790">
        <v>8</v>
      </c>
      <c r="G54" s="794"/>
      <c r="H54" s="781"/>
      <c r="I54" s="781"/>
      <c r="J54" s="781"/>
      <c r="K54" s="781"/>
      <c r="L54" s="809">
        <f t="shared" si="6"/>
        <v>0</v>
      </c>
      <c r="M54" s="1386">
        <f t="shared" si="24"/>
        <v>0</v>
      </c>
      <c r="N54" s="1387">
        <f t="shared" si="25"/>
        <v>8</v>
      </c>
      <c r="O54" s="1388">
        <f t="shared" si="26"/>
        <v>0</v>
      </c>
      <c r="P54" s="1389">
        <f t="shared" si="27"/>
        <v>0</v>
      </c>
      <c r="Q54" s="1389">
        <f t="shared" si="28"/>
        <v>0</v>
      </c>
      <c r="R54" s="1389">
        <f t="shared" si="29"/>
        <v>0</v>
      </c>
      <c r="S54" s="1390">
        <f t="shared" si="30"/>
        <v>0</v>
      </c>
      <c r="T54" s="780"/>
      <c r="U54" s="790"/>
      <c r="V54" s="794"/>
      <c r="W54" s="781"/>
      <c r="X54" s="781"/>
      <c r="Y54" s="781"/>
      <c r="Z54" s="781"/>
      <c r="AA54" s="841">
        <f t="shared" si="4"/>
        <v>0</v>
      </c>
      <c r="AB54" s="2166"/>
      <c r="AC54" s="2169"/>
      <c r="AD54" s="2243" t="s">
        <v>908</v>
      </c>
      <c r="AE54" s="794"/>
      <c r="AF54" s="790"/>
      <c r="AG54" s="794"/>
      <c r="AH54" s="781"/>
      <c r="AI54" s="781"/>
      <c r="AJ54" s="781"/>
      <c r="AK54" s="790"/>
      <c r="AL54" s="1443" t="s">
        <v>541</v>
      </c>
    </row>
    <row r="55" spans="1:38" ht="24.75" thickBot="1">
      <c r="A55" s="2248"/>
      <c r="B55" s="2271">
        <v>20306</v>
      </c>
      <c r="C55" s="2181">
        <v>0.1</v>
      </c>
      <c r="D55" s="2182" t="s">
        <v>963</v>
      </c>
      <c r="E55" s="784">
        <v>27</v>
      </c>
      <c r="F55" s="1824">
        <v>16</v>
      </c>
      <c r="G55" s="1825">
        <v>14</v>
      </c>
      <c r="H55" s="791">
        <v>40</v>
      </c>
      <c r="I55" s="791">
        <v>35</v>
      </c>
      <c r="J55" s="791">
        <v>35</v>
      </c>
      <c r="K55" s="791">
        <v>35</v>
      </c>
      <c r="L55" s="1439">
        <f t="shared" si="6"/>
        <v>159</v>
      </c>
      <c r="M55" s="2183">
        <f t="shared" si="24"/>
        <v>27</v>
      </c>
      <c r="N55" s="2184">
        <f t="shared" si="25"/>
        <v>16</v>
      </c>
      <c r="O55" s="2185">
        <f t="shared" si="26"/>
        <v>14</v>
      </c>
      <c r="P55" s="2186">
        <f t="shared" si="27"/>
        <v>40</v>
      </c>
      <c r="Q55" s="2186">
        <f t="shared" si="28"/>
        <v>35</v>
      </c>
      <c r="R55" s="2186">
        <f t="shared" si="29"/>
        <v>35</v>
      </c>
      <c r="S55" s="2187">
        <f t="shared" si="30"/>
        <v>35</v>
      </c>
      <c r="T55" s="784"/>
      <c r="U55" s="1824"/>
      <c r="V55" s="1825"/>
      <c r="W55" s="791"/>
      <c r="X55" s="791"/>
      <c r="Y55" s="791"/>
      <c r="Z55" s="791"/>
      <c r="AA55" s="2188">
        <f t="shared" si="4"/>
        <v>0</v>
      </c>
      <c r="AB55" s="2253"/>
      <c r="AC55" s="2254"/>
      <c r="AD55" s="2255" t="s">
        <v>908</v>
      </c>
      <c r="AE55" s="1825">
        <v>5</v>
      </c>
      <c r="AF55" s="1824"/>
      <c r="AG55" s="1825">
        <v>3</v>
      </c>
      <c r="AH55" s="791">
        <v>8</v>
      </c>
      <c r="AI55" s="791">
        <v>7</v>
      </c>
      <c r="AJ55" s="791">
        <v>7</v>
      </c>
      <c r="AK55" s="1824">
        <v>7</v>
      </c>
      <c r="AL55" s="2256" t="s">
        <v>541</v>
      </c>
    </row>
    <row r="56" spans="1:38" ht="23.25" customHeight="1" thickBot="1">
      <c r="A56" s="2224">
        <v>1.4</v>
      </c>
      <c r="B56" s="2224"/>
      <c r="C56" s="2225"/>
      <c r="D56" s="2226" t="s">
        <v>558</v>
      </c>
      <c r="E56" s="2227">
        <f t="shared" ref="E56:Z56" si="31">SUM(E57:E58)</f>
        <v>0</v>
      </c>
      <c r="F56" s="2228">
        <f t="shared" si="31"/>
        <v>0</v>
      </c>
      <c r="G56" s="2229">
        <f t="shared" si="31"/>
        <v>15</v>
      </c>
      <c r="H56" s="2230">
        <f t="shared" si="31"/>
        <v>279</v>
      </c>
      <c r="I56" s="2230">
        <f t="shared" si="31"/>
        <v>243</v>
      </c>
      <c r="J56" s="2230">
        <f t="shared" si="31"/>
        <v>331</v>
      </c>
      <c r="K56" s="2231">
        <f t="shared" si="31"/>
        <v>331</v>
      </c>
      <c r="L56" s="2232">
        <f t="shared" si="31"/>
        <v>1199</v>
      </c>
      <c r="M56" s="2227">
        <f t="shared" si="31"/>
        <v>0</v>
      </c>
      <c r="N56" s="2228">
        <f t="shared" si="31"/>
        <v>0</v>
      </c>
      <c r="O56" s="2229">
        <f t="shared" si="31"/>
        <v>15</v>
      </c>
      <c r="P56" s="2230">
        <f t="shared" si="31"/>
        <v>279</v>
      </c>
      <c r="Q56" s="2230">
        <f t="shared" si="31"/>
        <v>243</v>
      </c>
      <c r="R56" s="2230">
        <f t="shared" si="31"/>
        <v>331</v>
      </c>
      <c r="S56" s="2233">
        <f t="shared" si="31"/>
        <v>331</v>
      </c>
      <c r="T56" s="2227">
        <f t="shared" si="31"/>
        <v>0</v>
      </c>
      <c r="U56" s="2228">
        <f t="shared" si="31"/>
        <v>0</v>
      </c>
      <c r="V56" s="2229">
        <f t="shared" si="31"/>
        <v>0</v>
      </c>
      <c r="W56" s="2230">
        <f t="shared" si="31"/>
        <v>0</v>
      </c>
      <c r="X56" s="2230">
        <f t="shared" si="31"/>
        <v>0</v>
      </c>
      <c r="Y56" s="2230">
        <f t="shared" si="31"/>
        <v>0</v>
      </c>
      <c r="Z56" s="2231">
        <f t="shared" si="31"/>
        <v>0</v>
      </c>
      <c r="AA56" s="2263">
        <f t="shared" si="4"/>
        <v>0</v>
      </c>
      <c r="AB56" s="2264"/>
      <c r="AC56" s="2265"/>
      <c r="AD56" s="2266"/>
      <c r="AE56" s="2267"/>
      <c r="AF56" s="2267"/>
      <c r="AG56" s="2268"/>
      <c r="AH56" s="2268"/>
      <c r="AI56" s="2268"/>
      <c r="AJ56" s="2268"/>
      <c r="AK56" s="2269"/>
      <c r="AL56" s="2270"/>
    </row>
    <row r="57" spans="1:38" ht="25.5" customHeight="1">
      <c r="A57" s="2257"/>
      <c r="B57" s="2258">
        <v>2030501</v>
      </c>
      <c r="C57" s="2273">
        <v>0.1</v>
      </c>
      <c r="D57" s="2272" t="s">
        <v>559</v>
      </c>
      <c r="E57" s="2210"/>
      <c r="F57" s="2211"/>
      <c r="G57" s="2212">
        <v>15</v>
      </c>
      <c r="H57" s="2213">
        <v>254</v>
      </c>
      <c r="I57" s="2213">
        <v>216</v>
      </c>
      <c r="J57" s="2213">
        <v>291</v>
      </c>
      <c r="K57" s="2213">
        <v>291</v>
      </c>
      <c r="L57" s="2260">
        <f t="shared" si="6"/>
        <v>1067</v>
      </c>
      <c r="M57" s="2215">
        <f t="shared" ref="M57:S58" si="32">E57-T57</f>
        <v>0</v>
      </c>
      <c r="N57" s="2216">
        <f t="shared" si="32"/>
        <v>0</v>
      </c>
      <c r="O57" s="2217">
        <f t="shared" si="32"/>
        <v>15</v>
      </c>
      <c r="P57" s="2218">
        <f t="shared" si="32"/>
        <v>254</v>
      </c>
      <c r="Q57" s="2218">
        <f t="shared" si="32"/>
        <v>216</v>
      </c>
      <c r="R57" s="2218">
        <f t="shared" si="32"/>
        <v>291</v>
      </c>
      <c r="S57" s="2219">
        <f t="shared" si="32"/>
        <v>291</v>
      </c>
      <c r="T57" s="2210"/>
      <c r="U57" s="2211"/>
      <c r="V57" s="2212"/>
      <c r="W57" s="2213"/>
      <c r="X57" s="2213"/>
      <c r="Y57" s="2213"/>
      <c r="Z57" s="2213"/>
      <c r="AA57" s="2261">
        <f t="shared" si="4"/>
        <v>0</v>
      </c>
      <c r="AB57" s="2221"/>
      <c r="AC57" s="2222"/>
      <c r="AD57" s="2242" t="s">
        <v>908</v>
      </c>
      <c r="AE57" s="2212"/>
      <c r="AF57" s="2274">
        <v>1</v>
      </c>
      <c r="AG57" s="2212">
        <v>8</v>
      </c>
      <c r="AH57" s="2213">
        <v>127</v>
      </c>
      <c r="AI57" s="2213">
        <v>103</v>
      </c>
      <c r="AJ57" s="2213">
        <v>96</v>
      </c>
      <c r="AK57" s="2211">
        <v>96</v>
      </c>
      <c r="AL57" s="2275" t="s">
        <v>889</v>
      </c>
    </row>
    <row r="58" spans="1:38" ht="24.75" thickBot="1">
      <c r="A58" s="2180"/>
      <c r="B58" s="2271">
        <v>2030501</v>
      </c>
      <c r="C58" s="2276">
        <v>0.1</v>
      </c>
      <c r="D58" s="2277" t="s">
        <v>560</v>
      </c>
      <c r="E58" s="784"/>
      <c r="F58" s="1824"/>
      <c r="G58" s="1825"/>
      <c r="H58" s="791">
        <v>25</v>
      </c>
      <c r="I58" s="791">
        <v>27</v>
      </c>
      <c r="J58" s="791">
        <v>40</v>
      </c>
      <c r="K58" s="791">
        <v>40</v>
      </c>
      <c r="L58" s="1439">
        <f t="shared" si="6"/>
        <v>132</v>
      </c>
      <c r="M58" s="2183">
        <f t="shared" si="32"/>
        <v>0</v>
      </c>
      <c r="N58" s="2184">
        <f t="shared" si="32"/>
        <v>0</v>
      </c>
      <c r="O58" s="2185">
        <f t="shared" si="32"/>
        <v>0</v>
      </c>
      <c r="P58" s="2186">
        <f t="shared" si="32"/>
        <v>25</v>
      </c>
      <c r="Q58" s="2186">
        <f t="shared" si="32"/>
        <v>27</v>
      </c>
      <c r="R58" s="2186">
        <f t="shared" si="32"/>
        <v>40</v>
      </c>
      <c r="S58" s="2187">
        <f t="shared" si="32"/>
        <v>40</v>
      </c>
      <c r="T58" s="784"/>
      <c r="U58" s="1824"/>
      <c r="V58" s="1825"/>
      <c r="W58" s="791"/>
      <c r="X58" s="791"/>
      <c r="Y58" s="791"/>
      <c r="Z58" s="791"/>
      <c r="AA58" s="2188">
        <f t="shared" si="4"/>
        <v>0</v>
      </c>
      <c r="AB58" s="2253"/>
      <c r="AC58" s="2254"/>
      <c r="AD58" s="2255" t="s">
        <v>908</v>
      </c>
      <c r="AE58" s="1825"/>
      <c r="AF58" s="2278"/>
      <c r="AG58" s="1825"/>
      <c r="AH58" s="791">
        <v>50</v>
      </c>
      <c r="AI58" s="791">
        <v>50</v>
      </c>
      <c r="AJ58" s="791">
        <v>50</v>
      </c>
      <c r="AK58" s="1824">
        <v>50</v>
      </c>
      <c r="AL58" s="2256" t="s">
        <v>890</v>
      </c>
    </row>
    <row r="59" spans="1:38" ht="16.5" customHeight="1" thickBot="1">
      <c r="A59" s="2224">
        <v>1.5</v>
      </c>
      <c r="B59" s="2224"/>
      <c r="C59" s="2225"/>
      <c r="D59" s="2226" t="s">
        <v>561</v>
      </c>
      <c r="E59" s="2227">
        <f>SUM(E60:E67)</f>
        <v>51</v>
      </c>
      <c r="F59" s="2228">
        <f t="shared" ref="F59:Z59" si="33">SUM(F60:F67)</f>
        <v>0</v>
      </c>
      <c r="G59" s="2229">
        <f t="shared" si="33"/>
        <v>254</v>
      </c>
      <c r="H59" s="2230">
        <f t="shared" si="33"/>
        <v>585</v>
      </c>
      <c r="I59" s="2230">
        <f t="shared" si="33"/>
        <v>220</v>
      </c>
      <c r="J59" s="2230">
        <f t="shared" si="33"/>
        <v>220</v>
      </c>
      <c r="K59" s="2231">
        <f t="shared" si="33"/>
        <v>210</v>
      </c>
      <c r="L59" s="2232">
        <f t="shared" si="33"/>
        <v>1489</v>
      </c>
      <c r="M59" s="2227">
        <f t="shared" si="33"/>
        <v>51</v>
      </c>
      <c r="N59" s="2228">
        <f t="shared" si="33"/>
        <v>0</v>
      </c>
      <c r="O59" s="2229">
        <f t="shared" si="33"/>
        <v>254</v>
      </c>
      <c r="P59" s="2230">
        <f t="shared" si="33"/>
        <v>585</v>
      </c>
      <c r="Q59" s="2230">
        <f t="shared" si="33"/>
        <v>220</v>
      </c>
      <c r="R59" s="2230">
        <f t="shared" si="33"/>
        <v>220</v>
      </c>
      <c r="S59" s="2233">
        <f t="shared" si="33"/>
        <v>210</v>
      </c>
      <c r="T59" s="2227">
        <f t="shared" si="33"/>
        <v>0</v>
      </c>
      <c r="U59" s="2228">
        <f t="shared" si="33"/>
        <v>0</v>
      </c>
      <c r="V59" s="2229">
        <f t="shared" si="33"/>
        <v>0</v>
      </c>
      <c r="W59" s="2230">
        <f t="shared" si="33"/>
        <v>0</v>
      </c>
      <c r="X59" s="2230">
        <f t="shared" si="33"/>
        <v>0</v>
      </c>
      <c r="Y59" s="2230">
        <f t="shared" si="33"/>
        <v>0</v>
      </c>
      <c r="Z59" s="2231">
        <f t="shared" si="33"/>
        <v>0</v>
      </c>
      <c r="AA59" s="2263">
        <f t="shared" si="4"/>
        <v>0</v>
      </c>
      <c r="AB59" s="2264"/>
      <c r="AC59" s="2265"/>
      <c r="AD59" s="2266"/>
      <c r="AE59" s="2267"/>
      <c r="AF59" s="2267"/>
      <c r="AG59" s="2268"/>
      <c r="AH59" s="2268"/>
      <c r="AI59" s="2268"/>
      <c r="AJ59" s="2268"/>
      <c r="AK59" s="2269"/>
      <c r="AL59" s="2270"/>
    </row>
    <row r="60" spans="1:38" ht="24">
      <c r="A60" s="2279"/>
      <c r="B60" s="2257">
        <v>20201</v>
      </c>
      <c r="C60" s="2280">
        <v>0.03</v>
      </c>
      <c r="D60" s="2259" t="s">
        <v>562</v>
      </c>
      <c r="E60" s="2210">
        <v>29</v>
      </c>
      <c r="F60" s="2211"/>
      <c r="G60" s="2212">
        <v>126</v>
      </c>
      <c r="H60" s="2213">
        <v>310</v>
      </c>
      <c r="I60" s="2213">
        <v>50</v>
      </c>
      <c r="J60" s="2213">
        <v>70</v>
      </c>
      <c r="K60" s="2213">
        <v>100</v>
      </c>
      <c r="L60" s="2260">
        <f t="shared" si="6"/>
        <v>656</v>
      </c>
      <c r="M60" s="2215">
        <f t="shared" ref="M60:M67" si="34">E60-T60</f>
        <v>29</v>
      </c>
      <c r="N60" s="2216">
        <f t="shared" ref="N60:N67" si="35">F60-U60</f>
        <v>0</v>
      </c>
      <c r="O60" s="2217">
        <f t="shared" ref="O60:O67" si="36">G60-V60</f>
        <v>126</v>
      </c>
      <c r="P60" s="2218">
        <f t="shared" ref="P60:P67" si="37">H60-W60</f>
        <v>310</v>
      </c>
      <c r="Q60" s="2218">
        <f t="shared" ref="Q60:Q67" si="38">I60-X60</f>
        <v>50</v>
      </c>
      <c r="R60" s="2218">
        <f t="shared" ref="R60:R67" si="39">J60-Y60</f>
        <v>70</v>
      </c>
      <c r="S60" s="2219">
        <f t="shared" ref="S60:S67" si="40">K60-Z60</f>
        <v>100</v>
      </c>
      <c r="T60" s="2210"/>
      <c r="U60" s="2211"/>
      <c r="V60" s="2212"/>
      <c r="W60" s="2213"/>
      <c r="X60" s="2213"/>
      <c r="Y60" s="2213"/>
      <c r="Z60" s="2213"/>
      <c r="AA60" s="2261">
        <f t="shared" si="4"/>
        <v>0</v>
      </c>
      <c r="AB60" s="2221"/>
      <c r="AC60" s="2222"/>
      <c r="AD60" s="2242" t="s">
        <v>908</v>
      </c>
      <c r="AE60" s="2212">
        <v>6</v>
      </c>
      <c r="AF60" s="2211"/>
      <c r="AG60" s="2212">
        <v>3</v>
      </c>
      <c r="AH60" s="2213">
        <v>5</v>
      </c>
      <c r="AI60" s="2213">
        <v>3</v>
      </c>
      <c r="AJ60" s="2213">
        <v>3</v>
      </c>
      <c r="AK60" s="2211">
        <v>4</v>
      </c>
      <c r="AL60" s="2223" t="s">
        <v>563</v>
      </c>
    </row>
    <row r="61" spans="1:38" ht="24">
      <c r="A61" s="1675"/>
      <c r="B61" s="813">
        <v>20601</v>
      </c>
      <c r="C61" s="1689">
        <v>0.1</v>
      </c>
      <c r="D61" s="811" t="s">
        <v>564</v>
      </c>
      <c r="E61" s="780">
        <v>8</v>
      </c>
      <c r="F61" s="790"/>
      <c r="G61" s="794">
        <v>63</v>
      </c>
      <c r="H61" s="781">
        <v>10</v>
      </c>
      <c r="I61" s="781">
        <v>10</v>
      </c>
      <c r="J61" s="781">
        <v>10</v>
      </c>
      <c r="K61" s="781">
        <v>10</v>
      </c>
      <c r="L61" s="809">
        <f t="shared" si="6"/>
        <v>103</v>
      </c>
      <c r="M61" s="1386">
        <f t="shared" si="34"/>
        <v>8</v>
      </c>
      <c r="N61" s="1387">
        <f t="shared" si="35"/>
        <v>0</v>
      </c>
      <c r="O61" s="1388">
        <f t="shared" si="36"/>
        <v>63</v>
      </c>
      <c r="P61" s="1389">
        <f t="shared" si="37"/>
        <v>10</v>
      </c>
      <c r="Q61" s="1389">
        <f t="shared" si="38"/>
        <v>10</v>
      </c>
      <c r="R61" s="1389">
        <f t="shared" si="39"/>
        <v>10</v>
      </c>
      <c r="S61" s="1390">
        <f t="shared" si="40"/>
        <v>10</v>
      </c>
      <c r="T61" s="780"/>
      <c r="U61" s="790"/>
      <c r="V61" s="794"/>
      <c r="W61" s="781"/>
      <c r="X61" s="781"/>
      <c r="Y61" s="781"/>
      <c r="Z61" s="781"/>
      <c r="AA61" s="841">
        <f t="shared" si="4"/>
        <v>0</v>
      </c>
      <c r="AB61" s="2166"/>
      <c r="AC61" s="2169"/>
      <c r="AD61" s="2243" t="s">
        <v>908</v>
      </c>
      <c r="AE61" s="794">
        <v>8</v>
      </c>
      <c r="AF61" s="790">
        <v>13</v>
      </c>
      <c r="AG61" s="794">
        <v>42</v>
      </c>
      <c r="AH61" s="781">
        <v>10</v>
      </c>
      <c r="AI61" s="781">
        <v>10</v>
      </c>
      <c r="AJ61" s="781">
        <v>10</v>
      </c>
      <c r="AK61" s="790">
        <v>10</v>
      </c>
      <c r="AL61" s="1443" t="s">
        <v>565</v>
      </c>
    </row>
    <row r="62" spans="1:38" ht="24">
      <c r="A62" s="1675"/>
      <c r="B62" s="812">
        <v>20502</v>
      </c>
      <c r="C62" s="1689">
        <v>0.1</v>
      </c>
      <c r="D62" s="1678" t="s">
        <v>901</v>
      </c>
      <c r="E62" s="780"/>
      <c r="F62" s="790"/>
      <c r="G62" s="794"/>
      <c r="H62" s="781">
        <v>45</v>
      </c>
      <c r="I62" s="781"/>
      <c r="J62" s="781"/>
      <c r="K62" s="781"/>
      <c r="L62" s="809">
        <f t="shared" si="6"/>
        <v>45</v>
      </c>
      <c r="M62" s="1386">
        <f t="shared" si="34"/>
        <v>0</v>
      </c>
      <c r="N62" s="1387">
        <f t="shared" si="35"/>
        <v>0</v>
      </c>
      <c r="O62" s="1388">
        <f t="shared" si="36"/>
        <v>0</v>
      </c>
      <c r="P62" s="1389">
        <f t="shared" si="37"/>
        <v>45</v>
      </c>
      <c r="Q62" s="1389">
        <f t="shared" si="38"/>
        <v>0</v>
      </c>
      <c r="R62" s="1389">
        <f t="shared" si="39"/>
        <v>0</v>
      </c>
      <c r="S62" s="1390">
        <f t="shared" si="40"/>
        <v>0</v>
      </c>
      <c r="T62" s="780"/>
      <c r="U62" s="790"/>
      <c r="V62" s="794"/>
      <c r="W62" s="781"/>
      <c r="X62" s="781"/>
      <c r="Y62" s="781"/>
      <c r="Z62" s="781"/>
      <c r="AA62" s="841">
        <f t="shared" si="4"/>
        <v>0</v>
      </c>
      <c r="AB62" s="2166"/>
      <c r="AC62" s="2169"/>
      <c r="AD62" s="2243" t="s">
        <v>908</v>
      </c>
      <c r="AE62" s="794"/>
      <c r="AF62" s="790">
        <v>1</v>
      </c>
      <c r="AG62" s="794"/>
      <c r="AH62" s="781">
        <v>2</v>
      </c>
      <c r="AI62" s="781"/>
      <c r="AJ62" s="781"/>
      <c r="AK62" s="790"/>
      <c r="AL62" s="1443" t="s">
        <v>541</v>
      </c>
    </row>
    <row r="63" spans="1:38" ht="24">
      <c r="A63" s="1675"/>
      <c r="B63" s="812">
        <v>20503</v>
      </c>
      <c r="C63" s="1689">
        <v>0.1</v>
      </c>
      <c r="D63" s="1678" t="s">
        <v>900</v>
      </c>
      <c r="E63" s="780"/>
      <c r="F63" s="790"/>
      <c r="G63" s="794">
        <v>65</v>
      </c>
      <c r="H63" s="781"/>
      <c r="I63" s="781"/>
      <c r="J63" s="781"/>
      <c r="K63" s="781"/>
      <c r="L63" s="809">
        <f t="shared" si="6"/>
        <v>65</v>
      </c>
      <c r="M63" s="1386">
        <f t="shared" si="34"/>
        <v>0</v>
      </c>
      <c r="N63" s="1387">
        <f t="shared" si="35"/>
        <v>0</v>
      </c>
      <c r="O63" s="1388">
        <f t="shared" si="36"/>
        <v>65</v>
      </c>
      <c r="P63" s="1389">
        <f t="shared" si="37"/>
        <v>0</v>
      </c>
      <c r="Q63" s="1389">
        <f t="shared" si="38"/>
        <v>0</v>
      </c>
      <c r="R63" s="1389">
        <f t="shared" si="39"/>
        <v>0</v>
      </c>
      <c r="S63" s="1390">
        <f t="shared" si="40"/>
        <v>0</v>
      </c>
      <c r="T63" s="780"/>
      <c r="U63" s="790"/>
      <c r="V63" s="794"/>
      <c r="W63" s="781"/>
      <c r="X63" s="781"/>
      <c r="Y63" s="781"/>
      <c r="Z63" s="781"/>
      <c r="AA63" s="841">
        <f t="shared" si="4"/>
        <v>0</v>
      </c>
      <c r="AB63" s="2166"/>
      <c r="AC63" s="2169"/>
      <c r="AD63" s="2243" t="s">
        <v>908</v>
      </c>
      <c r="AE63" s="794"/>
      <c r="AF63" s="790"/>
      <c r="AG63" s="794">
        <v>3</v>
      </c>
      <c r="AH63" s="781"/>
      <c r="AI63" s="781"/>
      <c r="AJ63" s="781"/>
      <c r="AK63" s="790"/>
      <c r="AL63" s="1444" t="s">
        <v>541</v>
      </c>
    </row>
    <row r="64" spans="1:38" ht="24">
      <c r="A64" s="1675"/>
      <c r="B64" s="812">
        <v>212</v>
      </c>
      <c r="C64" s="1689">
        <v>0.2</v>
      </c>
      <c r="D64" s="1678" t="s">
        <v>1317</v>
      </c>
      <c r="E64" s="780"/>
      <c r="F64" s="790"/>
      <c r="G64" s="794"/>
      <c r="H64" s="781">
        <v>50</v>
      </c>
      <c r="I64" s="781"/>
      <c r="J64" s="781"/>
      <c r="K64" s="781"/>
      <c r="L64" s="809">
        <f t="shared" si="6"/>
        <v>50</v>
      </c>
      <c r="M64" s="1386">
        <f t="shared" si="34"/>
        <v>0</v>
      </c>
      <c r="N64" s="1387">
        <f t="shared" si="35"/>
        <v>0</v>
      </c>
      <c r="O64" s="1388">
        <f t="shared" si="36"/>
        <v>0</v>
      </c>
      <c r="P64" s="1389">
        <f t="shared" si="37"/>
        <v>50</v>
      </c>
      <c r="Q64" s="1389">
        <f t="shared" si="38"/>
        <v>0</v>
      </c>
      <c r="R64" s="1389">
        <f t="shared" si="39"/>
        <v>0</v>
      </c>
      <c r="S64" s="1390">
        <f t="shared" si="40"/>
        <v>0</v>
      </c>
      <c r="T64" s="780"/>
      <c r="U64" s="790"/>
      <c r="V64" s="794"/>
      <c r="W64" s="781"/>
      <c r="X64" s="781"/>
      <c r="Y64" s="781"/>
      <c r="Z64" s="781"/>
      <c r="AA64" s="841">
        <f t="shared" si="4"/>
        <v>0</v>
      </c>
      <c r="AB64" s="2166"/>
      <c r="AC64" s="2169"/>
      <c r="AD64" s="2243" t="s">
        <v>908</v>
      </c>
      <c r="AE64" s="794"/>
      <c r="AF64" s="790">
        <v>1</v>
      </c>
      <c r="AG64" s="794"/>
      <c r="AH64" s="781">
        <v>3</v>
      </c>
      <c r="AI64" s="781"/>
      <c r="AJ64" s="781"/>
      <c r="AK64" s="790"/>
      <c r="AL64" s="1444" t="s">
        <v>566</v>
      </c>
    </row>
    <row r="65" spans="1:38" ht="29.25" customHeight="1" thickBot="1">
      <c r="A65" s="813"/>
      <c r="B65" s="812">
        <v>215</v>
      </c>
      <c r="C65" s="1689">
        <v>0.2</v>
      </c>
      <c r="D65" s="1678" t="s">
        <v>1318</v>
      </c>
      <c r="E65" s="780"/>
      <c r="F65" s="790"/>
      <c r="G65" s="794"/>
      <c r="H65" s="781">
        <v>10</v>
      </c>
      <c r="I65" s="781">
        <v>10</v>
      </c>
      <c r="J65" s="781">
        <v>10</v>
      </c>
      <c r="K65" s="781">
        <v>10</v>
      </c>
      <c r="L65" s="809">
        <f t="shared" si="6"/>
        <v>40</v>
      </c>
      <c r="M65" s="1386">
        <f t="shared" si="34"/>
        <v>0</v>
      </c>
      <c r="N65" s="1387">
        <f t="shared" si="35"/>
        <v>0</v>
      </c>
      <c r="O65" s="1388">
        <f t="shared" si="36"/>
        <v>0</v>
      </c>
      <c r="P65" s="1389">
        <f t="shared" si="37"/>
        <v>10</v>
      </c>
      <c r="Q65" s="1389">
        <f t="shared" si="38"/>
        <v>10</v>
      </c>
      <c r="R65" s="1389">
        <f t="shared" si="39"/>
        <v>10</v>
      </c>
      <c r="S65" s="1390">
        <f t="shared" si="40"/>
        <v>10</v>
      </c>
      <c r="T65" s="780"/>
      <c r="U65" s="790"/>
      <c r="V65" s="794"/>
      <c r="W65" s="781"/>
      <c r="X65" s="781"/>
      <c r="Y65" s="781"/>
      <c r="Z65" s="781"/>
      <c r="AA65" s="841">
        <f t="shared" si="4"/>
        <v>0</v>
      </c>
      <c r="AB65" s="2166"/>
      <c r="AC65" s="2169"/>
      <c r="AD65" s="814" t="s">
        <v>908</v>
      </c>
      <c r="AE65" s="794"/>
      <c r="AF65" s="790"/>
      <c r="AG65" s="794"/>
      <c r="AH65" s="781">
        <v>1</v>
      </c>
      <c r="AI65" s="781">
        <v>1</v>
      </c>
      <c r="AJ65" s="781">
        <v>1</v>
      </c>
      <c r="AK65" s="790">
        <v>1</v>
      </c>
      <c r="AL65" s="1444" t="s">
        <v>902</v>
      </c>
    </row>
    <row r="66" spans="1:38" ht="39" customHeight="1">
      <c r="A66" s="813"/>
      <c r="B66" s="812">
        <v>215</v>
      </c>
      <c r="C66" s="1689">
        <v>0.2</v>
      </c>
      <c r="D66" s="1678" t="s">
        <v>891</v>
      </c>
      <c r="E66" s="780"/>
      <c r="F66" s="790"/>
      <c r="G66" s="794"/>
      <c r="H66" s="781">
        <v>100</v>
      </c>
      <c r="I66" s="781">
        <v>100</v>
      </c>
      <c r="J66" s="781">
        <v>100</v>
      </c>
      <c r="K66" s="781">
        <v>60</v>
      </c>
      <c r="L66" s="809">
        <f t="shared" si="6"/>
        <v>360</v>
      </c>
      <c r="M66" s="1386">
        <f t="shared" si="34"/>
        <v>0</v>
      </c>
      <c r="N66" s="1387">
        <f t="shared" si="35"/>
        <v>0</v>
      </c>
      <c r="O66" s="1388">
        <f t="shared" si="36"/>
        <v>0</v>
      </c>
      <c r="P66" s="1389">
        <f t="shared" si="37"/>
        <v>100</v>
      </c>
      <c r="Q66" s="1389">
        <f t="shared" si="38"/>
        <v>100</v>
      </c>
      <c r="R66" s="1389">
        <f t="shared" si="39"/>
        <v>100</v>
      </c>
      <c r="S66" s="1390">
        <f t="shared" si="40"/>
        <v>60</v>
      </c>
      <c r="T66" s="780"/>
      <c r="U66" s="790"/>
      <c r="V66" s="794"/>
      <c r="W66" s="781"/>
      <c r="X66" s="781"/>
      <c r="Y66" s="781"/>
      <c r="Z66" s="781"/>
      <c r="AA66" s="841">
        <f t="shared" si="4"/>
        <v>0</v>
      </c>
      <c r="AB66" s="2166"/>
      <c r="AC66" s="2169"/>
      <c r="AD66" s="2246" t="s">
        <v>380</v>
      </c>
      <c r="AE66" s="2160"/>
      <c r="AF66" s="2161"/>
      <c r="AG66" s="2160"/>
      <c r="AH66" s="2162"/>
      <c r="AI66" s="2162"/>
      <c r="AJ66" s="2162"/>
      <c r="AK66" s="2163"/>
      <c r="AL66" s="1444" t="s">
        <v>903</v>
      </c>
    </row>
    <row r="67" spans="1:38" ht="30.75" customHeight="1" thickBot="1">
      <c r="A67" s="2179"/>
      <c r="B67" s="2180">
        <v>208</v>
      </c>
      <c r="C67" s="2181">
        <v>0.2</v>
      </c>
      <c r="D67" s="2182" t="s">
        <v>567</v>
      </c>
      <c r="E67" s="784">
        <v>14</v>
      </c>
      <c r="F67" s="1824"/>
      <c r="G67" s="1825"/>
      <c r="H67" s="791">
        <v>60</v>
      </c>
      <c r="I67" s="791">
        <v>50</v>
      </c>
      <c r="J67" s="791">
        <v>30</v>
      </c>
      <c r="K67" s="791">
        <v>30</v>
      </c>
      <c r="L67" s="1439">
        <f t="shared" si="6"/>
        <v>170</v>
      </c>
      <c r="M67" s="2183">
        <f t="shared" si="34"/>
        <v>14</v>
      </c>
      <c r="N67" s="2184">
        <f t="shared" si="35"/>
        <v>0</v>
      </c>
      <c r="O67" s="2185">
        <f t="shared" si="36"/>
        <v>0</v>
      </c>
      <c r="P67" s="2186">
        <f t="shared" si="37"/>
        <v>60</v>
      </c>
      <c r="Q67" s="2186">
        <f t="shared" si="38"/>
        <v>50</v>
      </c>
      <c r="R67" s="2186">
        <f t="shared" si="39"/>
        <v>30</v>
      </c>
      <c r="S67" s="2187">
        <f t="shared" si="40"/>
        <v>30</v>
      </c>
      <c r="T67" s="784"/>
      <c r="U67" s="1824"/>
      <c r="V67" s="1825"/>
      <c r="W67" s="791"/>
      <c r="X67" s="791"/>
      <c r="Y67" s="791"/>
      <c r="Z67" s="791"/>
      <c r="AA67" s="2188">
        <f t="shared" si="4"/>
        <v>0</v>
      </c>
      <c r="AB67" s="2167"/>
      <c r="AC67" s="2170"/>
      <c r="AD67" s="814" t="s">
        <v>908</v>
      </c>
      <c r="AE67" s="2164">
        <v>2</v>
      </c>
      <c r="AF67" s="2165">
        <v>2</v>
      </c>
      <c r="AG67" s="2171"/>
      <c r="AH67" s="2172">
        <v>5</v>
      </c>
      <c r="AI67" s="2172">
        <v>4</v>
      </c>
      <c r="AJ67" s="2172">
        <v>3</v>
      </c>
      <c r="AK67" s="2165">
        <v>3</v>
      </c>
      <c r="AL67" s="1445" t="s">
        <v>565</v>
      </c>
    </row>
    <row r="68" spans="1:38" s="184" customFormat="1" ht="18.75" customHeight="1">
      <c r="A68" s="2189">
        <v>1</v>
      </c>
      <c r="B68" s="2189"/>
      <c r="C68" s="2190"/>
      <c r="D68" s="2191" t="s">
        <v>518</v>
      </c>
      <c r="E68" s="1215">
        <f t="shared" ref="E68:L68" si="41">E59+E56+E47+E35+E10</f>
        <v>2318</v>
      </c>
      <c r="F68" s="1425">
        <f t="shared" si="41"/>
        <v>2433</v>
      </c>
      <c r="G68" s="1419">
        <f t="shared" si="41"/>
        <v>2343</v>
      </c>
      <c r="H68" s="910">
        <f t="shared" si="41"/>
        <v>2849</v>
      </c>
      <c r="I68" s="910">
        <f t="shared" si="41"/>
        <v>3085</v>
      </c>
      <c r="J68" s="910">
        <f t="shared" si="41"/>
        <v>4168</v>
      </c>
      <c r="K68" s="1216">
        <f t="shared" si="41"/>
        <v>3514</v>
      </c>
      <c r="L68" s="1213">
        <f t="shared" si="41"/>
        <v>15959</v>
      </c>
      <c r="M68" s="1215">
        <f t="shared" ref="M68:Z68" si="42">M86</f>
        <v>2317.9999999999995</v>
      </c>
      <c r="N68" s="1425">
        <f t="shared" si="42"/>
        <v>2433</v>
      </c>
      <c r="O68" s="1419">
        <f t="shared" si="42"/>
        <v>2343</v>
      </c>
      <c r="P68" s="910">
        <f t="shared" si="42"/>
        <v>2848.9999999999995</v>
      </c>
      <c r="Q68" s="910">
        <f t="shared" si="42"/>
        <v>3085</v>
      </c>
      <c r="R68" s="910">
        <f t="shared" si="42"/>
        <v>4168</v>
      </c>
      <c r="S68" s="915">
        <f t="shared" si="42"/>
        <v>3514</v>
      </c>
      <c r="T68" s="1215">
        <f t="shared" si="42"/>
        <v>0</v>
      </c>
      <c r="U68" s="1425">
        <f t="shared" si="42"/>
        <v>0</v>
      </c>
      <c r="V68" s="1419">
        <f t="shared" si="42"/>
        <v>0</v>
      </c>
      <c r="W68" s="910">
        <f t="shared" si="42"/>
        <v>0</v>
      </c>
      <c r="X68" s="910">
        <f t="shared" si="42"/>
        <v>0</v>
      </c>
      <c r="Y68" s="910">
        <f t="shared" si="42"/>
        <v>0</v>
      </c>
      <c r="Z68" s="1216">
        <f t="shared" si="42"/>
        <v>0</v>
      </c>
      <c r="AA68" s="2192">
        <f>L68-SUM(O68:S68)-SUM(V68:Z68)</f>
        <v>0</v>
      </c>
      <c r="AB68" s="2281"/>
      <c r="AC68" s="2281"/>
      <c r="AD68" s="2126"/>
      <c r="AE68" s="2126"/>
      <c r="AF68" s="2126"/>
      <c r="AG68" s="2126"/>
      <c r="AH68" s="2126"/>
      <c r="AI68" s="2126"/>
      <c r="AJ68" s="2126"/>
      <c r="AK68" s="2281"/>
      <c r="AL68" s="2282"/>
    </row>
    <row r="69" spans="1:38" ht="18.75" customHeight="1">
      <c r="A69" s="908"/>
      <c r="B69" s="908"/>
      <c r="C69" s="907"/>
      <c r="D69" s="1679" t="s">
        <v>841</v>
      </c>
      <c r="E69" s="2173">
        <f>SUM(E29:E34)+SUM(E42:E46)+E49+SUM(E51:E55)+E59-E65-E66</f>
        <v>1218</v>
      </c>
      <c r="F69" s="2174">
        <f t="shared" ref="F69:Z69" si="43">SUM(F29:F34)+SUM(F42:F46)+F49+SUM(F51:F55)+F59-F65-F66</f>
        <v>155</v>
      </c>
      <c r="G69" s="2175">
        <f t="shared" si="43"/>
        <v>954</v>
      </c>
      <c r="H69" s="2176">
        <f t="shared" si="43"/>
        <v>605</v>
      </c>
      <c r="I69" s="2176">
        <f t="shared" si="43"/>
        <v>345</v>
      </c>
      <c r="J69" s="2176">
        <f t="shared" si="43"/>
        <v>852</v>
      </c>
      <c r="K69" s="2177">
        <f t="shared" si="43"/>
        <v>453</v>
      </c>
      <c r="L69" s="2178">
        <f t="shared" si="43"/>
        <v>3209</v>
      </c>
      <c r="M69" s="2173">
        <f t="shared" si="43"/>
        <v>1218</v>
      </c>
      <c r="N69" s="2174">
        <f t="shared" si="43"/>
        <v>155</v>
      </c>
      <c r="O69" s="2175">
        <f t="shared" si="43"/>
        <v>954</v>
      </c>
      <c r="P69" s="2176">
        <f t="shared" si="43"/>
        <v>605</v>
      </c>
      <c r="Q69" s="2176">
        <f t="shared" si="43"/>
        <v>345</v>
      </c>
      <c r="R69" s="2176">
        <f t="shared" si="43"/>
        <v>852</v>
      </c>
      <c r="S69" s="2178">
        <f t="shared" si="43"/>
        <v>453</v>
      </c>
      <c r="T69" s="2173">
        <f t="shared" si="43"/>
        <v>0</v>
      </c>
      <c r="U69" s="2174">
        <f t="shared" si="43"/>
        <v>0</v>
      </c>
      <c r="V69" s="2175">
        <f t="shared" si="43"/>
        <v>0</v>
      </c>
      <c r="W69" s="2176">
        <f t="shared" si="43"/>
        <v>0</v>
      </c>
      <c r="X69" s="2176">
        <f t="shared" si="43"/>
        <v>0</v>
      </c>
      <c r="Y69" s="2176">
        <f t="shared" si="43"/>
        <v>0</v>
      </c>
      <c r="Z69" s="2177">
        <f t="shared" si="43"/>
        <v>0</v>
      </c>
      <c r="AA69" s="909">
        <f>L69-SUM(O69:S69)-SUM(V69:Z69)</f>
        <v>0</v>
      </c>
      <c r="AB69" s="734"/>
      <c r="AC69" s="734"/>
      <c r="AD69" s="1705"/>
      <c r="AE69" s="1705"/>
      <c r="AF69" s="1705"/>
      <c r="AG69" s="1705"/>
      <c r="AH69" s="1705"/>
      <c r="AI69" s="1705"/>
      <c r="AJ69" s="1705"/>
      <c r="AK69" s="734"/>
      <c r="AL69" s="1712"/>
    </row>
    <row r="70" spans="1:38" ht="18.75" customHeight="1" thickBot="1">
      <c r="A70" s="2193"/>
      <c r="B70" s="2193"/>
      <c r="C70" s="2194"/>
      <c r="D70" s="2195" t="s">
        <v>842</v>
      </c>
      <c r="E70" s="2196">
        <f>SUM(E11:E28)+SUM(E36:E41)+E48+E50+E56+E65+E66</f>
        <v>1100</v>
      </c>
      <c r="F70" s="2197">
        <f t="shared" ref="F70:Z70" si="44">SUM(F11:F28)+SUM(F36:F41)+F48+F50+F56+F65+F66</f>
        <v>2278</v>
      </c>
      <c r="G70" s="2198">
        <f t="shared" si="44"/>
        <v>1389</v>
      </c>
      <c r="H70" s="2199">
        <f t="shared" si="44"/>
        <v>2244</v>
      </c>
      <c r="I70" s="2199">
        <f t="shared" si="44"/>
        <v>2740</v>
      </c>
      <c r="J70" s="2199">
        <f t="shared" si="44"/>
        <v>3316</v>
      </c>
      <c r="K70" s="2200">
        <f t="shared" si="44"/>
        <v>3061</v>
      </c>
      <c r="L70" s="2201">
        <f t="shared" si="44"/>
        <v>12750</v>
      </c>
      <c r="M70" s="2202">
        <f t="shared" si="44"/>
        <v>1100</v>
      </c>
      <c r="N70" s="2203">
        <f t="shared" si="44"/>
        <v>2278</v>
      </c>
      <c r="O70" s="2198">
        <f t="shared" si="44"/>
        <v>1389</v>
      </c>
      <c r="P70" s="2199">
        <f t="shared" si="44"/>
        <v>2244</v>
      </c>
      <c r="Q70" s="2199">
        <f t="shared" si="44"/>
        <v>2740</v>
      </c>
      <c r="R70" s="2199">
        <f t="shared" si="44"/>
        <v>3316</v>
      </c>
      <c r="S70" s="2201">
        <f t="shared" si="44"/>
        <v>3061</v>
      </c>
      <c r="T70" s="2202">
        <f t="shared" si="44"/>
        <v>0</v>
      </c>
      <c r="U70" s="2203">
        <f t="shared" si="44"/>
        <v>0</v>
      </c>
      <c r="V70" s="2198">
        <f t="shared" si="44"/>
        <v>0</v>
      </c>
      <c r="W70" s="2199">
        <f t="shared" si="44"/>
        <v>0</v>
      </c>
      <c r="X70" s="2199">
        <f t="shared" si="44"/>
        <v>0</v>
      </c>
      <c r="Y70" s="2199">
        <f t="shared" si="44"/>
        <v>0</v>
      </c>
      <c r="Z70" s="2200">
        <f t="shared" si="44"/>
        <v>0</v>
      </c>
      <c r="AA70" s="2204">
        <f>L70-SUM(O70:S70)-SUM(V70:Z70)</f>
        <v>0</v>
      </c>
      <c r="AB70" s="736"/>
      <c r="AC70" s="736"/>
      <c r="AD70" s="2283"/>
      <c r="AE70" s="2283"/>
      <c r="AF70" s="2283"/>
      <c r="AG70" s="2283"/>
      <c r="AH70" s="2283"/>
      <c r="AI70" s="2283"/>
      <c r="AJ70" s="2283"/>
      <c r="AK70" s="736"/>
      <c r="AL70" s="2284"/>
    </row>
    <row r="71" spans="1:38" ht="13.5" customHeight="1">
      <c r="A71" s="789"/>
      <c r="B71" s="789"/>
      <c r="C71" s="176"/>
      <c r="D71" s="1680"/>
      <c r="E71" s="843"/>
      <c r="F71" s="843"/>
      <c r="G71" s="816"/>
      <c r="H71" s="816"/>
      <c r="I71" s="816"/>
      <c r="J71" s="816"/>
      <c r="K71" s="816"/>
      <c r="L71" s="817"/>
      <c r="M71" s="853"/>
      <c r="N71" s="853"/>
      <c r="O71" s="817"/>
      <c r="P71" s="817"/>
      <c r="Q71" s="817"/>
      <c r="R71" s="817"/>
      <c r="S71" s="817"/>
      <c r="T71" s="853"/>
      <c r="U71" s="853"/>
      <c r="V71" s="817"/>
      <c r="W71" s="817"/>
      <c r="X71" s="817"/>
      <c r="Y71" s="817"/>
      <c r="Z71" s="817"/>
      <c r="AA71" s="817"/>
      <c r="AB71" s="778"/>
      <c r="AC71" s="778"/>
      <c r="AD71" s="818"/>
      <c r="AE71" s="818"/>
      <c r="AF71" s="479"/>
      <c r="AG71" s="479"/>
      <c r="AH71" s="479"/>
      <c r="AI71" s="479"/>
      <c r="AJ71" s="479"/>
      <c r="AK71" s="819"/>
      <c r="AL71" s="815"/>
    </row>
    <row r="72" spans="1:38" ht="13.5" customHeight="1" thickBot="1">
      <c r="A72" s="789"/>
      <c r="B72" s="789"/>
      <c r="C72" s="176"/>
      <c r="D72" s="1680"/>
      <c r="E72" s="843"/>
      <c r="F72" s="843"/>
      <c r="G72" s="816"/>
      <c r="H72" s="816"/>
      <c r="I72" s="816"/>
      <c r="J72" s="816"/>
      <c r="K72" s="816"/>
      <c r="L72" s="817"/>
      <c r="M72" s="853"/>
      <c r="N72" s="853"/>
      <c r="O72" s="817"/>
      <c r="P72" s="817"/>
      <c r="Q72" s="817"/>
      <c r="R72" s="817"/>
      <c r="S72" s="817"/>
      <c r="T72" s="853"/>
      <c r="U72" s="853"/>
      <c r="V72" s="817"/>
      <c r="W72" s="817"/>
      <c r="X72" s="817"/>
      <c r="Y72" s="817"/>
      <c r="Z72" s="817"/>
      <c r="AA72" s="817"/>
      <c r="AB72" s="778"/>
      <c r="AC72" s="778"/>
      <c r="AD72" s="818"/>
      <c r="AE72" s="818"/>
      <c r="AF72" s="479"/>
      <c r="AG72" s="479"/>
      <c r="AH72" s="479"/>
      <c r="AI72" s="479"/>
      <c r="AJ72" s="479"/>
      <c r="AK72" s="819"/>
      <c r="AL72" s="1711"/>
    </row>
    <row r="73" spans="1:38" s="506" customFormat="1" ht="13.5" customHeight="1">
      <c r="A73" s="482"/>
      <c r="B73" s="158"/>
      <c r="C73" s="158"/>
      <c r="D73" s="1681" t="s">
        <v>870</v>
      </c>
      <c r="E73" s="1215">
        <f t="shared" ref="E73:K73" si="45">SUM(E74:E76)</f>
        <v>2267</v>
      </c>
      <c r="F73" s="1425">
        <f t="shared" si="45"/>
        <v>2433</v>
      </c>
      <c r="G73" s="1419">
        <f t="shared" si="45"/>
        <v>2074</v>
      </c>
      <c r="H73" s="910">
        <f t="shared" si="45"/>
        <v>1985</v>
      </c>
      <c r="I73" s="910">
        <f t="shared" si="45"/>
        <v>2622</v>
      </c>
      <c r="J73" s="910">
        <f t="shared" si="45"/>
        <v>3617</v>
      </c>
      <c r="K73" s="915">
        <f t="shared" si="45"/>
        <v>2973</v>
      </c>
      <c r="L73" s="1440">
        <f t="shared" ref="L73:L98" si="46">SUM(G73:K73)</f>
        <v>13271</v>
      </c>
      <c r="M73" s="1215">
        <f t="shared" ref="M73:Z73" si="47">SUM(M74:M76)</f>
        <v>2267</v>
      </c>
      <c r="N73" s="1425">
        <f t="shared" si="47"/>
        <v>2433</v>
      </c>
      <c r="O73" s="1419">
        <f t="shared" si="47"/>
        <v>2074</v>
      </c>
      <c r="P73" s="910">
        <f t="shared" si="47"/>
        <v>1985</v>
      </c>
      <c r="Q73" s="910">
        <f t="shared" si="47"/>
        <v>2622</v>
      </c>
      <c r="R73" s="910">
        <f t="shared" si="47"/>
        <v>3617</v>
      </c>
      <c r="S73" s="1216">
        <f t="shared" si="47"/>
        <v>2973</v>
      </c>
      <c r="T73" s="1215">
        <f t="shared" si="47"/>
        <v>0</v>
      </c>
      <c r="U73" s="1425">
        <f t="shared" si="47"/>
        <v>0</v>
      </c>
      <c r="V73" s="1419">
        <f t="shared" si="47"/>
        <v>0</v>
      </c>
      <c r="W73" s="910">
        <f t="shared" si="47"/>
        <v>0</v>
      </c>
      <c r="X73" s="910">
        <f t="shared" si="47"/>
        <v>0</v>
      </c>
      <c r="Y73" s="910">
        <f t="shared" si="47"/>
        <v>0</v>
      </c>
      <c r="Z73" s="915">
        <f t="shared" si="47"/>
        <v>0</v>
      </c>
      <c r="AA73" s="916">
        <f>L73-SUM(O73:S73)-SUM(V73:Z73)</f>
        <v>0</v>
      </c>
      <c r="AB73" s="820"/>
      <c r="AC73" s="820"/>
      <c r="AD73" s="821"/>
      <c r="AE73" s="821"/>
      <c r="AF73" s="1706"/>
      <c r="AG73" s="1706"/>
      <c r="AH73" s="1706"/>
      <c r="AI73" s="1706"/>
      <c r="AJ73" s="1706"/>
      <c r="AK73" s="822"/>
      <c r="AL73" s="1711"/>
    </row>
    <row r="74" spans="1:38">
      <c r="A74" s="482"/>
      <c r="B74" s="158"/>
      <c r="C74" s="158"/>
      <c r="D74" s="1682" t="s">
        <v>568</v>
      </c>
      <c r="E74" s="844">
        <f t="shared" ref="E74:K74" si="48">E10</f>
        <v>2097</v>
      </c>
      <c r="F74" s="1396">
        <f t="shared" si="48"/>
        <v>2066</v>
      </c>
      <c r="G74" s="1420">
        <f t="shared" si="48"/>
        <v>1340</v>
      </c>
      <c r="H74" s="825">
        <f t="shared" si="48"/>
        <v>1602</v>
      </c>
      <c r="I74" s="825">
        <f t="shared" si="48"/>
        <v>1893</v>
      </c>
      <c r="J74" s="825">
        <f t="shared" si="48"/>
        <v>2379</v>
      </c>
      <c r="K74" s="877">
        <f t="shared" si="48"/>
        <v>1975</v>
      </c>
      <c r="L74" s="809">
        <f t="shared" si="46"/>
        <v>9189</v>
      </c>
      <c r="M74" s="844">
        <f t="shared" ref="M74:Z74" si="49">M10</f>
        <v>2097</v>
      </c>
      <c r="N74" s="1396">
        <f t="shared" si="49"/>
        <v>2066</v>
      </c>
      <c r="O74" s="1420">
        <f t="shared" si="49"/>
        <v>1340</v>
      </c>
      <c r="P74" s="825">
        <f t="shared" si="49"/>
        <v>1602</v>
      </c>
      <c r="Q74" s="825">
        <f t="shared" si="49"/>
        <v>1893</v>
      </c>
      <c r="R74" s="825">
        <f t="shared" si="49"/>
        <v>2379</v>
      </c>
      <c r="S74" s="823">
        <f t="shared" si="49"/>
        <v>1975</v>
      </c>
      <c r="T74" s="844">
        <f t="shared" si="49"/>
        <v>0</v>
      </c>
      <c r="U74" s="1396">
        <f t="shared" si="49"/>
        <v>0</v>
      </c>
      <c r="V74" s="1420">
        <f t="shared" si="49"/>
        <v>0</v>
      </c>
      <c r="W74" s="825">
        <f t="shared" si="49"/>
        <v>0</v>
      </c>
      <c r="X74" s="825">
        <f t="shared" si="49"/>
        <v>0</v>
      </c>
      <c r="Y74" s="825">
        <f t="shared" si="49"/>
        <v>0</v>
      </c>
      <c r="Z74" s="877">
        <f t="shared" si="49"/>
        <v>0</v>
      </c>
      <c r="AA74" s="917">
        <f>L74-SUM(O74:S74)-SUM(V74:Z74)</f>
        <v>0</v>
      </c>
      <c r="AB74" s="778"/>
      <c r="AC74" s="778"/>
      <c r="AD74" s="818"/>
      <c r="AE74" s="818"/>
      <c r="AF74" s="479"/>
      <c r="AG74" s="479"/>
      <c r="AH74" s="479"/>
      <c r="AI74" s="479"/>
      <c r="AJ74" s="479"/>
      <c r="AK74" s="819"/>
      <c r="AL74" s="1711"/>
    </row>
    <row r="75" spans="1:38">
      <c r="A75" s="482"/>
      <c r="B75" s="158"/>
      <c r="C75" s="158"/>
      <c r="D75" s="1682" t="s">
        <v>869</v>
      </c>
      <c r="E75" s="844">
        <f t="shared" ref="E75:K75" si="50">E35</f>
        <v>65</v>
      </c>
      <c r="F75" s="1396">
        <f t="shared" si="50"/>
        <v>193</v>
      </c>
      <c r="G75" s="1420">
        <f t="shared" si="50"/>
        <v>686</v>
      </c>
      <c r="H75" s="825">
        <f t="shared" si="50"/>
        <v>155</v>
      </c>
      <c r="I75" s="825">
        <f t="shared" si="50"/>
        <v>614</v>
      </c>
      <c r="J75" s="825">
        <f t="shared" si="50"/>
        <v>1163</v>
      </c>
      <c r="K75" s="877">
        <f t="shared" si="50"/>
        <v>925</v>
      </c>
      <c r="L75" s="809">
        <f t="shared" si="46"/>
        <v>3543</v>
      </c>
      <c r="M75" s="844">
        <f t="shared" ref="M75:Z75" si="51">M35</f>
        <v>65</v>
      </c>
      <c r="N75" s="1396">
        <f t="shared" si="51"/>
        <v>193</v>
      </c>
      <c r="O75" s="1420">
        <f t="shared" si="51"/>
        <v>686</v>
      </c>
      <c r="P75" s="825">
        <f t="shared" si="51"/>
        <v>155</v>
      </c>
      <c r="Q75" s="825">
        <f t="shared" si="51"/>
        <v>614</v>
      </c>
      <c r="R75" s="825">
        <f t="shared" si="51"/>
        <v>1163</v>
      </c>
      <c r="S75" s="823">
        <f t="shared" si="51"/>
        <v>925</v>
      </c>
      <c r="T75" s="844">
        <f t="shared" si="51"/>
        <v>0</v>
      </c>
      <c r="U75" s="1396">
        <f t="shared" si="51"/>
        <v>0</v>
      </c>
      <c r="V75" s="1420">
        <f t="shared" si="51"/>
        <v>0</v>
      </c>
      <c r="W75" s="825">
        <f t="shared" si="51"/>
        <v>0</v>
      </c>
      <c r="X75" s="825">
        <f t="shared" si="51"/>
        <v>0</v>
      </c>
      <c r="Y75" s="825">
        <f t="shared" si="51"/>
        <v>0</v>
      </c>
      <c r="Z75" s="877">
        <f t="shared" si="51"/>
        <v>0</v>
      </c>
      <c r="AA75" s="917">
        <f>L75-SUM(O75:S75)-SUM(V75:Z75)</f>
        <v>0</v>
      </c>
      <c r="AB75" s="778"/>
      <c r="AC75" s="778"/>
      <c r="AD75" s="818"/>
      <c r="AE75" s="818"/>
      <c r="AF75" s="479"/>
      <c r="AG75" s="479"/>
      <c r="AH75" s="479"/>
      <c r="AI75" s="479"/>
      <c r="AJ75" s="479"/>
      <c r="AK75" s="819"/>
      <c r="AL75" s="1711"/>
    </row>
    <row r="76" spans="1:38" ht="13.5" thickBot="1">
      <c r="A76" s="482"/>
      <c r="B76" s="158"/>
      <c r="C76" s="158"/>
      <c r="D76" s="1683" t="s">
        <v>569</v>
      </c>
      <c r="E76" s="1217">
        <f t="shared" ref="E76:K76" si="52">E47</f>
        <v>105</v>
      </c>
      <c r="F76" s="1426">
        <f t="shared" si="52"/>
        <v>174</v>
      </c>
      <c r="G76" s="1421">
        <f t="shared" si="52"/>
        <v>48</v>
      </c>
      <c r="H76" s="826">
        <f t="shared" si="52"/>
        <v>228</v>
      </c>
      <c r="I76" s="826">
        <f t="shared" si="52"/>
        <v>115</v>
      </c>
      <c r="J76" s="826">
        <f t="shared" si="52"/>
        <v>75</v>
      </c>
      <c r="K76" s="878">
        <f t="shared" si="52"/>
        <v>73</v>
      </c>
      <c r="L76" s="1439">
        <f t="shared" si="46"/>
        <v>539</v>
      </c>
      <c r="M76" s="1217">
        <f t="shared" ref="M76:Z76" si="53">M47</f>
        <v>105</v>
      </c>
      <c r="N76" s="1426">
        <f t="shared" si="53"/>
        <v>174</v>
      </c>
      <c r="O76" s="1421">
        <f t="shared" si="53"/>
        <v>48</v>
      </c>
      <c r="P76" s="826">
        <f t="shared" si="53"/>
        <v>228</v>
      </c>
      <c r="Q76" s="826">
        <f t="shared" si="53"/>
        <v>115</v>
      </c>
      <c r="R76" s="826">
        <f t="shared" si="53"/>
        <v>75</v>
      </c>
      <c r="S76" s="1218">
        <f t="shared" si="53"/>
        <v>73</v>
      </c>
      <c r="T76" s="1217">
        <f t="shared" si="53"/>
        <v>0</v>
      </c>
      <c r="U76" s="1426">
        <f t="shared" si="53"/>
        <v>0</v>
      </c>
      <c r="V76" s="1421">
        <f t="shared" si="53"/>
        <v>0</v>
      </c>
      <c r="W76" s="826">
        <f t="shared" si="53"/>
        <v>0</v>
      </c>
      <c r="X76" s="826">
        <f t="shared" si="53"/>
        <v>0</v>
      </c>
      <c r="Y76" s="826">
        <f t="shared" si="53"/>
        <v>0</v>
      </c>
      <c r="Z76" s="878">
        <f t="shared" si="53"/>
        <v>0</v>
      </c>
      <c r="AA76" s="920">
        <f>L76-SUM(O76:S76)-SUM(V76:Z76)</f>
        <v>0</v>
      </c>
      <c r="AB76" s="778"/>
      <c r="AC76" s="778"/>
      <c r="AD76" s="818"/>
      <c r="AE76" s="818"/>
      <c r="AF76" s="479"/>
      <c r="AG76" s="479"/>
      <c r="AH76" s="479"/>
      <c r="AI76" s="479"/>
      <c r="AJ76" s="479"/>
      <c r="AK76" s="819"/>
      <c r="AL76" s="1711"/>
    </row>
    <row r="77" spans="1:38">
      <c r="A77" s="482"/>
      <c r="B77" s="158"/>
      <c r="C77" s="158"/>
      <c r="D77" s="1684" t="s">
        <v>570</v>
      </c>
      <c r="E77" s="1219">
        <f t="shared" ref="E77:K77" si="54">IFERROR(E74/E$73,0)</f>
        <v>0.92501102779003086</v>
      </c>
      <c r="F77" s="1427">
        <f t="shared" si="54"/>
        <v>0.84915741882449647</v>
      </c>
      <c r="G77" s="1422">
        <f t="shared" si="54"/>
        <v>0.64609450337512053</v>
      </c>
      <c r="H77" s="827">
        <f t="shared" si="54"/>
        <v>0.80705289672544078</v>
      </c>
      <c r="I77" s="827">
        <f t="shared" si="54"/>
        <v>0.72196796338672764</v>
      </c>
      <c r="J77" s="827">
        <f t="shared" si="54"/>
        <v>0.6577273983964611</v>
      </c>
      <c r="K77" s="879">
        <f t="shared" si="54"/>
        <v>0.66431214261688531</v>
      </c>
      <c r="L77" s="1461">
        <f t="shared" si="46"/>
        <v>3.4971549045006354</v>
      </c>
      <c r="M77" s="1690">
        <f>IFERROR(M74/M$73,0)</f>
        <v>0.92501102779003086</v>
      </c>
      <c r="N77" s="1691">
        <f t="shared" ref="N77:Z77" si="55">IFERROR(N74/N$73,0)</f>
        <v>0.84915741882449647</v>
      </c>
      <c r="O77" s="1692">
        <f>IFERROR(O74/O$73,0)</f>
        <v>0.64609450337512053</v>
      </c>
      <c r="P77" s="1693">
        <f t="shared" si="55"/>
        <v>0.80705289672544078</v>
      </c>
      <c r="Q77" s="1693">
        <f t="shared" si="55"/>
        <v>0.72196796338672764</v>
      </c>
      <c r="R77" s="1693">
        <f t="shared" si="55"/>
        <v>0.6577273983964611</v>
      </c>
      <c r="S77" s="1693">
        <f t="shared" si="55"/>
        <v>0.66431214261688531</v>
      </c>
      <c r="T77" s="1694">
        <f t="shared" si="55"/>
        <v>0</v>
      </c>
      <c r="U77" s="1693">
        <f t="shared" si="55"/>
        <v>0</v>
      </c>
      <c r="V77" s="1694">
        <f t="shared" si="55"/>
        <v>0</v>
      </c>
      <c r="W77" s="1693">
        <f t="shared" si="55"/>
        <v>0</v>
      </c>
      <c r="X77" s="1693">
        <f t="shared" si="55"/>
        <v>0</v>
      </c>
      <c r="Y77" s="1693">
        <f t="shared" si="55"/>
        <v>0</v>
      </c>
      <c r="Z77" s="1691">
        <f t="shared" si="55"/>
        <v>0</v>
      </c>
      <c r="AA77" s="919"/>
      <c r="AB77" s="778"/>
      <c r="AC77" s="778"/>
      <c r="AD77" s="818"/>
      <c r="AE77" s="818"/>
      <c r="AF77" s="479"/>
      <c r="AG77" s="479"/>
      <c r="AH77" s="479"/>
      <c r="AI77" s="479"/>
      <c r="AJ77" s="479"/>
      <c r="AK77" s="819"/>
      <c r="AL77" s="1711"/>
    </row>
    <row r="78" spans="1:38">
      <c r="A78" s="482"/>
      <c r="B78" s="158"/>
      <c r="C78" s="158"/>
      <c r="D78" s="1682" t="s">
        <v>868</v>
      </c>
      <c r="E78" s="1220">
        <f>IFERROR(E75/E$73,0)</f>
        <v>2.867225408028231E-2</v>
      </c>
      <c r="F78" s="1428">
        <f t="shared" ref="F78:K78" si="56">IFERROR(F75/F$73,0)</f>
        <v>7.9325935059597202E-2</v>
      </c>
      <c r="G78" s="1423">
        <f t="shared" si="56"/>
        <v>0.33076181292189005</v>
      </c>
      <c r="H78" s="828">
        <f t="shared" si="56"/>
        <v>7.8085642317380355E-2</v>
      </c>
      <c r="I78" s="828">
        <f t="shared" si="56"/>
        <v>0.23417238749046529</v>
      </c>
      <c r="J78" s="828">
        <f t="shared" si="56"/>
        <v>0.32153718551285598</v>
      </c>
      <c r="K78" s="880">
        <f t="shared" si="56"/>
        <v>0.31113353514968045</v>
      </c>
      <c r="L78" s="1462">
        <f t="shared" si="46"/>
        <v>1.2756905633922722</v>
      </c>
      <c r="M78" s="1695">
        <f>IFERROR(M75/M$73,0)</f>
        <v>2.867225408028231E-2</v>
      </c>
      <c r="N78" s="1696">
        <f>IFERROR(N75/N$73,0)</f>
        <v>7.9325935059597202E-2</v>
      </c>
      <c r="O78" s="1697">
        <f>IFERROR(O75/O$73,0)</f>
        <v>0.33076181292189005</v>
      </c>
      <c r="P78" s="1698">
        <f t="shared" ref="P78:Z78" si="57">IFERROR(P75/P$73,0)</f>
        <v>7.8085642317380355E-2</v>
      </c>
      <c r="Q78" s="1698">
        <f t="shared" si="57"/>
        <v>0.23417238749046529</v>
      </c>
      <c r="R78" s="1698">
        <f t="shared" si="57"/>
        <v>0.32153718551285598</v>
      </c>
      <c r="S78" s="1698">
        <f t="shared" si="57"/>
        <v>0.31113353514968045</v>
      </c>
      <c r="T78" s="1699">
        <f t="shared" si="57"/>
        <v>0</v>
      </c>
      <c r="U78" s="1698">
        <f t="shared" si="57"/>
        <v>0</v>
      </c>
      <c r="V78" s="1699">
        <f t="shared" si="57"/>
        <v>0</v>
      </c>
      <c r="W78" s="1698">
        <f t="shared" si="57"/>
        <v>0</v>
      </c>
      <c r="X78" s="1698">
        <f t="shared" si="57"/>
        <v>0</v>
      </c>
      <c r="Y78" s="1698">
        <f t="shared" si="57"/>
        <v>0</v>
      </c>
      <c r="Z78" s="1696">
        <f t="shared" si="57"/>
        <v>0</v>
      </c>
      <c r="AA78" s="917"/>
      <c r="AB78" s="778"/>
      <c r="AC78" s="778"/>
      <c r="AD78" s="818"/>
      <c r="AE78" s="818"/>
      <c r="AF78" s="479"/>
      <c r="AG78" s="479"/>
      <c r="AH78" s="479"/>
      <c r="AI78" s="479"/>
      <c r="AJ78" s="479"/>
      <c r="AK78" s="819"/>
      <c r="AL78" s="1711"/>
    </row>
    <row r="79" spans="1:38" ht="13.5" thickBot="1">
      <c r="A79" s="482"/>
      <c r="B79" s="158"/>
      <c r="C79" s="158"/>
      <c r="D79" s="1685" t="s">
        <v>571</v>
      </c>
      <c r="E79" s="1221">
        <f>IFERROR(E76/E$73,0)</f>
        <v>4.631671812968681E-2</v>
      </c>
      <c r="F79" s="1429">
        <f t="shared" ref="F79:K79" si="58">IFERROR(F76/F$73,0)</f>
        <v>7.1516646115906288E-2</v>
      </c>
      <c r="G79" s="1424">
        <f t="shared" si="58"/>
        <v>2.3143683702989394E-2</v>
      </c>
      <c r="H79" s="829">
        <f t="shared" si="58"/>
        <v>0.11486146095717883</v>
      </c>
      <c r="I79" s="829">
        <f t="shared" si="58"/>
        <v>4.3859649122807015E-2</v>
      </c>
      <c r="J79" s="829">
        <f t="shared" si="58"/>
        <v>2.0735416090682888E-2</v>
      </c>
      <c r="K79" s="881">
        <f t="shared" si="58"/>
        <v>2.4554322233434241E-2</v>
      </c>
      <c r="L79" s="1463">
        <f t="shared" si="46"/>
        <v>0.22715453210709236</v>
      </c>
      <c r="M79" s="1700">
        <f>IFERROR(M76/M$73,0)</f>
        <v>4.631671812968681E-2</v>
      </c>
      <c r="N79" s="1701">
        <f t="shared" ref="N79:Z79" si="59">IFERROR(N76/N$73,0)</f>
        <v>7.1516646115906288E-2</v>
      </c>
      <c r="O79" s="1702">
        <f>IFERROR(O76/O$73,0)</f>
        <v>2.3143683702989394E-2</v>
      </c>
      <c r="P79" s="1703">
        <f t="shared" si="59"/>
        <v>0.11486146095717883</v>
      </c>
      <c r="Q79" s="1703">
        <f t="shared" si="59"/>
        <v>4.3859649122807015E-2</v>
      </c>
      <c r="R79" s="1703">
        <f t="shared" si="59"/>
        <v>2.0735416090682888E-2</v>
      </c>
      <c r="S79" s="1703">
        <f t="shared" si="59"/>
        <v>2.4554322233434241E-2</v>
      </c>
      <c r="T79" s="1704">
        <f t="shared" si="59"/>
        <v>0</v>
      </c>
      <c r="U79" s="1703">
        <f t="shared" si="59"/>
        <v>0</v>
      </c>
      <c r="V79" s="1704">
        <f t="shared" si="59"/>
        <v>0</v>
      </c>
      <c r="W79" s="1703">
        <f t="shared" si="59"/>
        <v>0</v>
      </c>
      <c r="X79" s="1703">
        <f t="shared" si="59"/>
        <v>0</v>
      </c>
      <c r="Y79" s="1703">
        <f t="shared" si="59"/>
        <v>0</v>
      </c>
      <c r="Z79" s="1701">
        <f t="shared" si="59"/>
        <v>0</v>
      </c>
      <c r="AA79" s="918"/>
      <c r="AB79" s="778"/>
      <c r="AC79" s="778"/>
      <c r="AD79" s="818"/>
      <c r="AE79" s="818"/>
      <c r="AF79" s="479"/>
      <c r="AG79" s="479"/>
      <c r="AH79" s="479"/>
      <c r="AI79" s="479"/>
      <c r="AJ79" s="479"/>
      <c r="AK79" s="819"/>
      <c r="AL79" s="1711"/>
    </row>
    <row r="80" spans="1:38" ht="13.5" thickBot="1">
      <c r="A80" s="482"/>
      <c r="B80" s="158"/>
      <c r="C80" s="158"/>
      <c r="D80" s="1680"/>
      <c r="E80" s="843"/>
      <c r="F80" s="843"/>
      <c r="G80" s="816"/>
      <c r="H80" s="816"/>
      <c r="I80" s="816"/>
      <c r="J80" s="816"/>
      <c r="K80" s="824"/>
      <c r="L80" s="824"/>
      <c r="M80" s="843"/>
      <c r="N80" s="843"/>
      <c r="O80" s="816"/>
      <c r="P80" s="816"/>
      <c r="Q80" s="816"/>
      <c r="R80" s="816"/>
      <c r="S80" s="824"/>
      <c r="T80" s="862"/>
      <c r="U80" s="862"/>
      <c r="V80" s="824"/>
      <c r="W80" s="824"/>
      <c r="X80" s="824"/>
      <c r="Y80" s="824"/>
      <c r="Z80" s="824"/>
      <c r="AA80" s="911"/>
      <c r="AB80" s="778"/>
      <c r="AC80" s="778"/>
      <c r="AD80" s="818"/>
      <c r="AE80" s="818"/>
      <c r="AF80" s="479"/>
      <c r="AG80" s="479"/>
      <c r="AH80" s="479"/>
      <c r="AI80" s="479"/>
      <c r="AJ80" s="479"/>
      <c r="AK80" s="819"/>
      <c r="AL80" s="1711"/>
    </row>
    <row r="81" spans="1:38" s="1395" customFormat="1">
      <c r="A81" s="1676"/>
      <c r="B81" s="1391"/>
      <c r="C81" s="1391"/>
      <c r="D81" s="1681" t="s">
        <v>572</v>
      </c>
      <c r="E81" s="1215">
        <f>E56+E59</f>
        <v>51</v>
      </c>
      <c r="F81" s="1425">
        <f t="shared" ref="F81:K81" si="60">F56+F59</f>
        <v>0</v>
      </c>
      <c r="G81" s="1419">
        <f>G56+G59</f>
        <v>269</v>
      </c>
      <c r="H81" s="910">
        <f t="shared" si="60"/>
        <v>864</v>
      </c>
      <c r="I81" s="910">
        <f t="shared" si="60"/>
        <v>463</v>
      </c>
      <c r="J81" s="910">
        <f t="shared" si="60"/>
        <v>551</v>
      </c>
      <c r="K81" s="915">
        <f t="shared" si="60"/>
        <v>541</v>
      </c>
      <c r="L81" s="1440">
        <f t="shared" si="46"/>
        <v>2688</v>
      </c>
      <c r="M81" s="1215">
        <f t="shared" ref="M81:Z81" si="61">M56+M59</f>
        <v>51</v>
      </c>
      <c r="N81" s="1425">
        <f t="shared" si="61"/>
        <v>0</v>
      </c>
      <c r="O81" s="1419">
        <f t="shared" si="61"/>
        <v>269</v>
      </c>
      <c r="P81" s="910">
        <f t="shared" si="61"/>
        <v>864</v>
      </c>
      <c r="Q81" s="910">
        <f t="shared" si="61"/>
        <v>463</v>
      </c>
      <c r="R81" s="910">
        <f t="shared" si="61"/>
        <v>551</v>
      </c>
      <c r="S81" s="1216">
        <f t="shared" si="61"/>
        <v>541</v>
      </c>
      <c r="T81" s="1215">
        <f t="shared" si="61"/>
        <v>0</v>
      </c>
      <c r="U81" s="1425">
        <f t="shared" si="61"/>
        <v>0</v>
      </c>
      <c r="V81" s="1419">
        <f t="shared" si="61"/>
        <v>0</v>
      </c>
      <c r="W81" s="910">
        <f t="shared" si="61"/>
        <v>0</v>
      </c>
      <c r="X81" s="910">
        <f t="shared" si="61"/>
        <v>0</v>
      </c>
      <c r="Y81" s="910">
        <f t="shared" si="61"/>
        <v>0</v>
      </c>
      <c r="Z81" s="915">
        <f t="shared" si="61"/>
        <v>0</v>
      </c>
      <c r="AA81" s="1392">
        <f t="shared" ref="AA81:AA98" si="62">L81-SUM(O81:S81)-SUM(V81:Z81)</f>
        <v>0</v>
      </c>
      <c r="AB81" s="830"/>
      <c r="AC81" s="830"/>
      <c r="AD81" s="831"/>
      <c r="AE81" s="831"/>
      <c r="AF81" s="1707"/>
      <c r="AG81" s="1707"/>
      <c r="AH81" s="1707"/>
      <c r="AI81" s="1707"/>
      <c r="AJ81" s="1707"/>
      <c r="AK81" s="1394"/>
      <c r="AL81" s="1713"/>
    </row>
    <row r="82" spans="1:38">
      <c r="A82" s="482"/>
      <c r="B82" s="158"/>
      <c r="C82" s="158"/>
      <c r="D82" s="1682" t="s">
        <v>568</v>
      </c>
      <c r="E82" s="845">
        <f t="shared" ref="E82:K82" si="63">E77*E$81</f>
        <v>47.175562417291573</v>
      </c>
      <c r="F82" s="1436">
        <f>F77*F$81</f>
        <v>0</v>
      </c>
      <c r="G82" s="833">
        <f t="shared" si="63"/>
        <v>173.79942140790743</v>
      </c>
      <c r="H82" s="832">
        <f t="shared" si="63"/>
        <v>697.29370277078078</v>
      </c>
      <c r="I82" s="832">
        <f t="shared" si="63"/>
        <v>334.27116704805491</v>
      </c>
      <c r="J82" s="832">
        <f t="shared" si="63"/>
        <v>362.40779651645005</v>
      </c>
      <c r="K82" s="1430">
        <f t="shared" si="63"/>
        <v>359.39286915573496</v>
      </c>
      <c r="L82" s="809">
        <f t="shared" si="46"/>
        <v>1927.1649568989278</v>
      </c>
      <c r="M82" s="844">
        <f>E77*M$81</f>
        <v>47.175562417291573</v>
      </c>
      <c r="N82" s="1436">
        <f t="shared" ref="N82:S82" si="64">F77*N$81</f>
        <v>0</v>
      </c>
      <c r="O82" s="1420">
        <f t="shared" si="64"/>
        <v>173.79942140790743</v>
      </c>
      <c r="P82" s="825">
        <f>H77*P$81</f>
        <v>697.29370277078078</v>
      </c>
      <c r="Q82" s="825">
        <f t="shared" si="64"/>
        <v>334.27116704805491</v>
      </c>
      <c r="R82" s="825">
        <f t="shared" si="64"/>
        <v>362.40779651645005</v>
      </c>
      <c r="S82" s="823">
        <f t="shared" si="64"/>
        <v>359.39286915573496</v>
      </c>
      <c r="T82" s="845">
        <f>E77*T$81</f>
        <v>0</v>
      </c>
      <c r="U82" s="1436">
        <f t="shared" ref="U82:Z82" si="65">F77*U$81</f>
        <v>0</v>
      </c>
      <c r="V82" s="1434">
        <f t="shared" si="65"/>
        <v>0</v>
      </c>
      <c r="W82" s="855">
        <f t="shared" si="65"/>
        <v>0</v>
      </c>
      <c r="X82" s="855">
        <f t="shared" si="65"/>
        <v>0</v>
      </c>
      <c r="Y82" s="855">
        <f t="shared" si="65"/>
        <v>0</v>
      </c>
      <c r="Z82" s="855">
        <f t="shared" si="65"/>
        <v>0</v>
      </c>
      <c r="AA82" s="920">
        <f t="shared" si="62"/>
        <v>0</v>
      </c>
      <c r="AB82" s="778"/>
      <c r="AC82" s="778"/>
      <c r="AD82" s="818"/>
      <c r="AE82" s="818"/>
      <c r="AF82" s="479"/>
      <c r="AG82" s="479"/>
      <c r="AH82" s="479"/>
      <c r="AI82" s="479"/>
      <c r="AJ82" s="479"/>
      <c r="AK82" s="819"/>
      <c r="AL82" s="1711"/>
    </row>
    <row r="83" spans="1:38">
      <c r="A83" s="482"/>
      <c r="B83" s="158"/>
      <c r="C83" s="158"/>
      <c r="D83" s="1682" t="s">
        <v>869</v>
      </c>
      <c r="E83" s="844">
        <f>E78*E$81</f>
        <v>1.4622849580943977</v>
      </c>
      <c r="F83" s="1436">
        <f>F78*F$81</f>
        <v>0</v>
      </c>
      <c r="G83" s="833">
        <f t="shared" ref="G83:K84" si="66">G78*G$81</f>
        <v>88.974927675988425</v>
      </c>
      <c r="H83" s="832">
        <f t="shared" si="66"/>
        <v>67.465994962216627</v>
      </c>
      <c r="I83" s="832">
        <f t="shared" si="66"/>
        <v>108.42181540808542</v>
      </c>
      <c r="J83" s="832">
        <f t="shared" si="66"/>
        <v>177.16698921758365</v>
      </c>
      <c r="K83" s="1430">
        <f t="shared" si="66"/>
        <v>168.32324251597711</v>
      </c>
      <c r="L83" s="809">
        <f t="shared" si="46"/>
        <v>610.35296977985126</v>
      </c>
      <c r="M83" s="844">
        <f>E78*M$81</f>
        <v>1.4622849580943977</v>
      </c>
      <c r="N83" s="1396">
        <f t="shared" ref="N83:S83" si="67">F78*N$81</f>
        <v>0</v>
      </c>
      <c r="O83" s="1214">
        <f>G78*O$81</f>
        <v>88.974927675988425</v>
      </c>
      <c r="P83" s="854">
        <f>H78*P$81</f>
        <v>67.465994962216627</v>
      </c>
      <c r="Q83" s="854">
        <f t="shared" si="67"/>
        <v>108.42181540808542</v>
      </c>
      <c r="R83" s="854">
        <f t="shared" si="67"/>
        <v>177.16698921758365</v>
      </c>
      <c r="S83" s="1396">
        <f t="shared" si="67"/>
        <v>168.32324251597711</v>
      </c>
      <c r="T83" s="844">
        <f>E78*T$81</f>
        <v>0</v>
      </c>
      <c r="U83" s="1396">
        <f t="shared" ref="U83:Z83" si="68">F78*U$81</f>
        <v>0</v>
      </c>
      <c r="V83" s="1214">
        <f t="shared" si="68"/>
        <v>0</v>
      </c>
      <c r="W83" s="854">
        <f t="shared" si="68"/>
        <v>0</v>
      </c>
      <c r="X83" s="854">
        <f t="shared" si="68"/>
        <v>0</v>
      </c>
      <c r="Y83" s="854">
        <f t="shared" si="68"/>
        <v>0</v>
      </c>
      <c r="Z83" s="854">
        <f t="shared" si="68"/>
        <v>0</v>
      </c>
      <c r="AA83" s="920">
        <f t="shared" si="62"/>
        <v>0</v>
      </c>
      <c r="AB83" s="778"/>
      <c r="AC83" s="778"/>
      <c r="AD83" s="818"/>
      <c r="AE83" s="818"/>
      <c r="AF83" s="479"/>
      <c r="AG83" s="479"/>
      <c r="AH83" s="479"/>
      <c r="AI83" s="479"/>
      <c r="AJ83" s="479"/>
      <c r="AK83" s="819"/>
      <c r="AL83" s="1711"/>
    </row>
    <row r="84" spans="1:38" ht="13.5" thickBot="1">
      <c r="A84" s="482"/>
      <c r="B84" s="158"/>
      <c r="C84" s="158"/>
      <c r="D84" s="1685" t="s">
        <v>569</v>
      </c>
      <c r="E84" s="848">
        <f>E79*E$81</f>
        <v>2.3621526246140272</v>
      </c>
      <c r="F84" s="1437">
        <f>F79*F$81</f>
        <v>0</v>
      </c>
      <c r="G84" s="1432">
        <f t="shared" si="66"/>
        <v>6.2256509161041471</v>
      </c>
      <c r="H84" s="834">
        <f t="shared" si="66"/>
        <v>99.240302267002519</v>
      </c>
      <c r="I84" s="834">
        <f t="shared" si="66"/>
        <v>20.307017543859647</v>
      </c>
      <c r="J84" s="834">
        <f t="shared" si="66"/>
        <v>11.425214265966272</v>
      </c>
      <c r="K84" s="1431">
        <f t="shared" si="66"/>
        <v>13.283888328287924</v>
      </c>
      <c r="L84" s="1441">
        <f t="shared" si="46"/>
        <v>150.4820733212205</v>
      </c>
      <c r="M84" s="848">
        <f>E79*M$81</f>
        <v>2.3621526246140272</v>
      </c>
      <c r="N84" s="1397">
        <f t="shared" ref="N84:S84" si="69">F79*N$81</f>
        <v>0</v>
      </c>
      <c r="O84" s="1435">
        <f t="shared" si="69"/>
        <v>6.2256509161041471</v>
      </c>
      <c r="P84" s="857">
        <f t="shared" si="69"/>
        <v>99.240302267002519</v>
      </c>
      <c r="Q84" s="857">
        <f t="shared" si="69"/>
        <v>20.307017543859647</v>
      </c>
      <c r="R84" s="857">
        <f t="shared" si="69"/>
        <v>11.425214265966272</v>
      </c>
      <c r="S84" s="1397">
        <f t="shared" si="69"/>
        <v>13.283888328287924</v>
      </c>
      <c r="T84" s="846">
        <f>E79*T$81</f>
        <v>0</v>
      </c>
      <c r="U84" s="1437">
        <f t="shared" ref="U84:Z84" si="70">F79*U$81</f>
        <v>0</v>
      </c>
      <c r="V84" s="1438">
        <f t="shared" si="70"/>
        <v>0</v>
      </c>
      <c r="W84" s="856">
        <f t="shared" si="70"/>
        <v>0</v>
      </c>
      <c r="X84" s="856">
        <f t="shared" si="70"/>
        <v>0</v>
      </c>
      <c r="Y84" s="856">
        <f t="shared" si="70"/>
        <v>0</v>
      </c>
      <c r="Z84" s="856">
        <f t="shared" si="70"/>
        <v>0</v>
      </c>
      <c r="AA84" s="918">
        <f t="shared" si="62"/>
        <v>0</v>
      </c>
      <c r="AB84" s="778"/>
      <c r="AC84" s="778"/>
      <c r="AD84" s="818"/>
      <c r="AE84" s="818"/>
      <c r="AF84" s="479"/>
      <c r="AG84" s="479"/>
      <c r="AH84" s="479"/>
      <c r="AI84" s="479"/>
      <c r="AJ84" s="479"/>
      <c r="AK84" s="819"/>
      <c r="AL84" s="1711"/>
    </row>
    <row r="85" spans="1:38" ht="13.5" thickBot="1">
      <c r="A85" s="482"/>
      <c r="B85" s="158"/>
      <c r="C85" s="158"/>
      <c r="D85" s="1686"/>
      <c r="E85" s="847"/>
      <c r="F85" s="847"/>
      <c r="G85" s="835"/>
      <c r="H85" s="835"/>
      <c r="I85" s="835"/>
      <c r="J85" s="835"/>
      <c r="K85" s="836"/>
      <c r="L85" s="817"/>
      <c r="M85" s="853"/>
      <c r="N85" s="853"/>
      <c r="O85" s="817"/>
      <c r="P85" s="817"/>
      <c r="Q85" s="817"/>
      <c r="R85" s="817"/>
      <c r="S85" s="817"/>
      <c r="T85" s="853"/>
      <c r="U85" s="853"/>
      <c r="V85" s="817"/>
      <c r="W85" s="817"/>
      <c r="X85" s="817"/>
      <c r="Y85" s="817"/>
      <c r="Z85" s="817"/>
      <c r="AA85" s="480"/>
      <c r="AB85" s="778"/>
      <c r="AC85" s="778"/>
      <c r="AD85" s="818"/>
      <c r="AE85" s="818"/>
      <c r="AF85" s="479"/>
      <c r="AG85" s="479"/>
      <c r="AH85" s="479"/>
      <c r="AI85" s="479"/>
      <c r="AJ85" s="479"/>
      <c r="AK85" s="819"/>
      <c r="AL85" s="1711"/>
    </row>
    <row r="86" spans="1:38" s="183" customFormat="1" ht="24">
      <c r="A86" s="1676"/>
      <c r="B86" s="1391"/>
      <c r="C86" s="1391"/>
      <c r="D86" s="1687" t="s">
        <v>573</v>
      </c>
      <c r="E86" s="1398">
        <f t="shared" ref="E86:K86" si="71">SUM(E87:E89)</f>
        <v>2317.9999999999995</v>
      </c>
      <c r="F86" s="913">
        <f t="shared" si="71"/>
        <v>2433</v>
      </c>
      <c r="G86" s="1403">
        <f t="shared" si="71"/>
        <v>2343</v>
      </c>
      <c r="H86" s="912">
        <f t="shared" si="71"/>
        <v>2848.9999999999995</v>
      </c>
      <c r="I86" s="912">
        <f t="shared" si="71"/>
        <v>3085</v>
      </c>
      <c r="J86" s="912">
        <f t="shared" si="71"/>
        <v>4168</v>
      </c>
      <c r="K86" s="913">
        <f t="shared" si="71"/>
        <v>3514</v>
      </c>
      <c r="L86" s="1440">
        <f t="shared" si="46"/>
        <v>15959</v>
      </c>
      <c r="M86" s="1398">
        <f t="shared" ref="M86:Z86" si="72">SUM(M87:M89)</f>
        <v>2317.9999999999995</v>
      </c>
      <c r="N86" s="913">
        <f t="shared" si="72"/>
        <v>2433</v>
      </c>
      <c r="O86" s="1403">
        <f t="shared" si="72"/>
        <v>2343</v>
      </c>
      <c r="P86" s="912">
        <f t="shared" si="72"/>
        <v>2848.9999999999995</v>
      </c>
      <c r="Q86" s="912">
        <f t="shared" si="72"/>
        <v>3085</v>
      </c>
      <c r="R86" s="912">
        <f t="shared" si="72"/>
        <v>4168</v>
      </c>
      <c r="S86" s="913">
        <f t="shared" si="72"/>
        <v>3514</v>
      </c>
      <c r="T86" s="1398">
        <f t="shared" si="72"/>
        <v>0</v>
      </c>
      <c r="U86" s="913">
        <f t="shared" si="72"/>
        <v>0</v>
      </c>
      <c r="V86" s="1403">
        <f t="shared" si="72"/>
        <v>0</v>
      </c>
      <c r="W86" s="912">
        <f t="shared" si="72"/>
        <v>0</v>
      </c>
      <c r="X86" s="912">
        <f t="shared" si="72"/>
        <v>0</v>
      </c>
      <c r="Y86" s="912">
        <f t="shared" si="72"/>
        <v>0</v>
      </c>
      <c r="Z86" s="913">
        <f t="shared" si="72"/>
        <v>0</v>
      </c>
      <c r="AA86" s="1392">
        <f t="shared" si="62"/>
        <v>0</v>
      </c>
      <c r="AB86" s="837"/>
      <c r="AC86" s="837"/>
      <c r="AD86" s="838"/>
      <c r="AE86" s="838"/>
      <c r="AF86" s="1708"/>
      <c r="AG86" s="1708"/>
      <c r="AH86" s="1708"/>
      <c r="AI86" s="1708"/>
      <c r="AJ86" s="1708"/>
      <c r="AK86" s="1393"/>
      <c r="AL86" s="1713"/>
    </row>
    <row r="87" spans="1:38">
      <c r="A87" s="530"/>
      <c r="B87" s="1110"/>
      <c r="C87" s="1110"/>
      <c r="D87" s="1682" t="s">
        <v>568</v>
      </c>
      <c r="E87" s="1399">
        <f t="shared" ref="E87:K87" si="73">E74+E82</f>
        <v>2144.1755624172915</v>
      </c>
      <c r="F87" s="823">
        <f t="shared" si="73"/>
        <v>2066</v>
      </c>
      <c r="G87" s="1420">
        <f t="shared" si="73"/>
        <v>1513.7994214079074</v>
      </c>
      <c r="H87" s="825">
        <f t="shared" si="73"/>
        <v>2299.2937027707808</v>
      </c>
      <c r="I87" s="825">
        <f t="shared" si="73"/>
        <v>2227.2711670480548</v>
      </c>
      <c r="J87" s="825">
        <f t="shared" si="73"/>
        <v>2741.4077965164502</v>
      </c>
      <c r="K87" s="823">
        <f t="shared" si="73"/>
        <v>2334.3928691557348</v>
      </c>
      <c r="L87" s="809">
        <f t="shared" si="46"/>
        <v>11116.164956898927</v>
      </c>
      <c r="M87" s="1400">
        <f t="shared" ref="M87:Z87" si="74">M74+M82</f>
        <v>2144.1755624172915</v>
      </c>
      <c r="N87" s="823">
        <f t="shared" si="74"/>
        <v>2066</v>
      </c>
      <c r="O87" s="1420">
        <f t="shared" si="74"/>
        <v>1513.7994214079074</v>
      </c>
      <c r="P87" s="825">
        <f t="shared" si="74"/>
        <v>2299.2937027707808</v>
      </c>
      <c r="Q87" s="825">
        <f t="shared" si="74"/>
        <v>2227.2711670480548</v>
      </c>
      <c r="R87" s="825">
        <f t="shared" si="74"/>
        <v>2741.4077965164502</v>
      </c>
      <c r="S87" s="823">
        <f t="shared" si="74"/>
        <v>2334.3928691557348</v>
      </c>
      <c r="T87" s="1400">
        <f t="shared" si="74"/>
        <v>0</v>
      </c>
      <c r="U87" s="823">
        <f t="shared" si="74"/>
        <v>0</v>
      </c>
      <c r="V87" s="1420">
        <f t="shared" si="74"/>
        <v>0</v>
      </c>
      <c r="W87" s="825">
        <f t="shared" si="74"/>
        <v>0</v>
      </c>
      <c r="X87" s="825">
        <f t="shared" si="74"/>
        <v>0</v>
      </c>
      <c r="Y87" s="825">
        <f t="shared" si="74"/>
        <v>0</v>
      </c>
      <c r="Z87" s="823">
        <f t="shared" si="74"/>
        <v>0</v>
      </c>
      <c r="AA87" s="920">
        <f t="shared" si="62"/>
        <v>0</v>
      </c>
      <c r="AB87" s="778"/>
      <c r="AC87" s="778"/>
      <c r="AD87" s="818"/>
      <c r="AE87" s="818"/>
      <c r="AF87" s="479"/>
      <c r="AG87" s="479"/>
      <c r="AH87" s="479"/>
      <c r="AI87" s="479"/>
      <c r="AJ87" s="479"/>
      <c r="AK87" s="819"/>
      <c r="AL87" s="1711"/>
    </row>
    <row r="88" spans="1:38">
      <c r="A88" s="530"/>
      <c r="B88" s="1110"/>
      <c r="C88" s="1110"/>
      <c r="D88" s="1682" t="s">
        <v>869</v>
      </c>
      <c r="E88" s="1399">
        <f>E75+E83</f>
        <v>66.462284958094401</v>
      </c>
      <c r="F88" s="823">
        <f t="shared" ref="F88:K89" si="75">F75+F83</f>
        <v>193</v>
      </c>
      <c r="G88" s="1420">
        <f t="shared" si="75"/>
        <v>774.9749276759884</v>
      </c>
      <c r="H88" s="825">
        <f t="shared" si="75"/>
        <v>222.46599496221663</v>
      </c>
      <c r="I88" s="825">
        <f t="shared" si="75"/>
        <v>722.42181540808542</v>
      </c>
      <c r="J88" s="825">
        <f t="shared" si="75"/>
        <v>1340.1669892175837</v>
      </c>
      <c r="K88" s="823">
        <f t="shared" si="75"/>
        <v>1093.3232425159772</v>
      </c>
      <c r="L88" s="809">
        <f t="shared" si="46"/>
        <v>4153.3529697798513</v>
      </c>
      <c r="M88" s="1400">
        <f t="shared" ref="M88:S88" si="76">M75+M83</f>
        <v>66.462284958094401</v>
      </c>
      <c r="N88" s="823">
        <f t="shared" si="76"/>
        <v>193</v>
      </c>
      <c r="O88" s="1420">
        <f t="shared" si="76"/>
        <v>774.9749276759884</v>
      </c>
      <c r="P88" s="825">
        <f t="shared" si="76"/>
        <v>222.46599496221663</v>
      </c>
      <c r="Q88" s="825">
        <f t="shared" si="76"/>
        <v>722.42181540808542</v>
      </c>
      <c r="R88" s="825">
        <f t="shared" si="76"/>
        <v>1340.1669892175837</v>
      </c>
      <c r="S88" s="823">
        <f t="shared" si="76"/>
        <v>1093.3232425159772</v>
      </c>
      <c r="T88" s="1400">
        <f t="shared" ref="T88:Z89" si="77">T75+T83</f>
        <v>0</v>
      </c>
      <c r="U88" s="823">
        <f t="shared" si="77"/>
        <v>0</v>
      </c>
      <c r="V88" s="1420">
        <f t="shared" si="77"/>
        <v>0</v>
      </c>
      <c r="W88" s="825">
        <f t="shared" si="77"/>
        <v>0</v>
      </c>
      <c r="X88" s="825">
        <f t="shared" si="77"/>
        <v>0</v>
      </c>
      <c r="Y88" s="825">
        <f t="shared" si="77"/>
        <v>0</v>
      </c>
      <c r="Z88" s="823">
        <f t="shared" si="77"/>
        <v>0</v>
      </c>
      <c r="AA88" s="920">
        <f t="shared" si="62"/>
        <v>0</v>
      </c>
      <c r="AB88" s="778"/>
      <c r="AC88" s="778"/>
      <c r="AD88" s="818"/>
      <c r="AE88" s="818"/>
      <c r="AF88" s="479"/>
      <c r="AG88" s="479"/>
      <c r="AH88" s="479"/>
      <c r="AI88" s="479"/>
      <c r="AJ88" s="479"/>
      <c r="AK88" s="819"/>
      <c r="AL88" s="1711"/>
    </row>
    <row r="89" spans="1:38" ht="13.5" thickBot="1">
      <c r="A89" s="530"/>
      <c r="B89" s="1110"/>
      <c r="C89" s="1110"/>
      <c r="D89" s="1685" t="s">
        <v>569</v>
      </c>
      <c r="E89" s="1401">
        <f>E76+E84</f>
        <v>107.36215262461403</v>
      </c>
      <c r="F89" s="840">
        <f t="shared" si="75"/>
        <v>174</v>
      </c>
      <c r="G89" s="1433">
        <f t="shared" si="75"/>
        <v>54.225650916104144</v>
      </c>
      <c r="H89" s="839">
        <f t="shared" si="75"/>
        <v>327.24030226700251</v>
      </c>
      <c r="I89" s="839">
        <f t="shared" si="75"/>
        <v>135.30701754385964</v>
      </c>
      <c r="J89" s="839">
        <f t="shared" si="75"/>
        <v>86.425214265966275</v>
      </c>
      <c r="K89" s="840">
        <f t="shared" si="75"/>
        <v>86.283888328287929</v>
      </c>
      <c r="L89" s="1441">
        <f t="shared" si="46"/>
        <v>689.48207332122047</v>
      </c>
      <c r="M89" s="1402">
        <f t="shared" ref="M89:S89" si="78">M76+M84</f>
        <v>107.36215262461403</v>
      </c>
      <c r="N89" s="840">
        <f t="shared" si="78"/>
        <v>174</v>
      </c>
      <c r="O89" s="1433">
        <f t="shared" si="78"/>
        <v>54.225650916104144</v>
      </c>
      <c r="P89" s="839">
        <f t="shared" si="78"/>
        <v>327.24030226700251</v>
      </c>
      <c r="Q89" s="839">
        <f t="shared" si="78"/>
        <v>135.30701754385964</v>
      </c>
      <c r="R89" s="839">
        <f t="shared" si="78"/>
        <v>86.425214265966275</v>
      </c>
      <c r="S89" s="840">
        <f t="shared" si="78"/>
        <v>86.283888328287929</v>
      </c>
      <c r="T89" s="1402">
        <f t="shared" si="77"/>
        <v>0</v>
      </c>
      <c r="U89" s="840">
        <f t="shared" si="77"/>
        <v>0</v>
      </c>
      <c r="V89" s="1433">
        <f t="shared" si="77"/>
        <v>0</v>
      </c>
      <c r="W89" s="839">
        <f t="shared" si="77"/>
        <v>0</v>
      </c>
      <c r="X89" s="839">
        <f t="shared" si="77"/>
        <v>0</v>
      </c>
      <c r="Y89" s="839">
        <f t="shared" si="77"/>
        <v>0</v>
      </c>
      <c r="Z89" s="840">
        <f t="shared" si="77"/>
        <v>0</v>
      </c>
      <c r="AA89" s="918">
        <f t="shared" si="62"/>
        <v>0</v>
      </c>
      <c r="AB89" s="778"/>
      <c r="AC89" s="1939"/>
      <c r="AD89" s="818"/>
      <c r="AE89" s="818"/>
      <c r="AF89" s="479"/>
      <c r="AG89" s="479"/>
      <c r="AH89" s="479"/>
      <c r="AI89" s="479"/>
      <c r="AJ89" s="479"/>
      <c r="AK89" s="819"/>
      <c r="AL89" s="1711"/>
    </row>
    <row r="90" spans="1:38" ht="13.5" thickBot="1">
      <c r="F90" s="850"/>
      <c r="G90" s="513"/>
      <c r="H90" s="513"/>
      <c r="I90" s="513"/>
      <c r="J90" s="513"/>
      <c r="K90" s="513"/>
      <c r="L90" s="480"/>
      <c r="M90" s="858"/>
      <c r="N90" s="858"/>
      <c r="O90" s="480"/>
      <c r="P90" s="480"/>
      <c r="Q90" s="480"/>
      <c r="R90" s="480"/>
      <c r="S90" s="480"/>
      <c r="T90" s="858"/>
      <c r="U90" s="858"/>
      <c r="V90" s="480"/>
      <c r="W90" s="480"/>
      <c r="X90" s="480"/>
      <c r="Y90" s="480"/>
      <c r="Z90" s="480"/>
      <c r="AA90" s="480"/>
      <c r="AB90" s="237"/>
      <c r="AC90" s="237"/>
      <c r="AD90" s="535"/>
      <c r="AE90" s="535"/>
      <c r="AL90" s="1711"/>
    </row>
    <row r="91" spans="1:38">
      <c r="D91" s="1687" t="s">
        <v>1249</v>
      </c>
      <c r="E91" s="1398">
        <f>SUM(E92:E94)</f>
        <v>1218</v>
      </c>
      <c r="F91" s="913">
        <f t="shared" ref="F91:K91" si="79">SUM(F92:F94)</f>
        <v>155</v>
      </c>
      <c r="G91" s="1403">
        <f t="shared" si="79"/>
        <v>954</v>
      </c>
      <c r="H91" s="912">
        <f t="shared" si="79"/>
        <v>585</v>
      </c>
      <c r="I91" s="912">
        <f t="shared" si="79"/>
        <v>324</v>
      </c>
      <c r="J91" s="912">
        <f t="shared" si="79"/>
        <v>830</v>
      </c>
      <c r="K91" s="913">
        <f t="shared" si="79"/>
        <v>400</v>
      </c>
      <c r="L91" s="1440">
        <f t="shared" si="46"/>
        <v>3093</v>
      </c>
      <c r="M91" s="1398">
        <f t="shared" ref="M91:Z91" si="80">SUM(M92:M94)</f>
        <v>1218</v>
      </c>
      <c r="N91" s="913">
        <f t="shared" si="80"/>
        <v>155</v>
      </c>
      <c r="O91" s="1403">
        <f t="shared" si="80"/>
        <v>954</v>
      </c>
      <c r="P91" s="912">
        <f t="shared" si="80"/>
        <v>585</v>
      </c>
      <c r="Q91" s="912">
        <f t="shared" si="80"/>
        <v>324</v>
      </c>
      <c r="R91" s="912">
        <f t="shared" si="80"/>
        <v>830</v>
      </c>
      <c r="S91" s="914">
        <f t="shared" si="80"/>
        <v>400</v>
      </c>
      <c r="T91" s="1398">
        <f t="shared" si="80"/>
        <v>0</v>
      </c>
      <c r="U91" s="913">
        <f t="shared" si="80"/>
        <v>0</v>
      </c>
      <c r="V91" s="1403">
        <f t="shared" si="80"/>
        <v>0</v>
      </c>
      <c r="W91" s="912">
        <f t="shared" si="80"/>
        <v>0</v>
      </c>
      <c r="X91" s="912">
        <f t="shared" si="80"/>
        <v>0</v>
      </c>
      <c r="Y91" s="912">
        <f t="shared" si="80"/>
        <v>0</v>
      </c>
      <c r="Z91" s="913">
        <f t="shared" si="80"/>
        <v>0</v>
      </c>
      <c r="AA91" s="1222">
        <f t="shared" si="62"/>
        <v>0</v>
      </c>
      <c r="AB91" s="237"/>
      <c r="AC91" s="237"/>
      <c r="AD91" s="535"/>
      <c r="AE91" s="535"/>
      <c r="AL91" s="1711"/>
    </row>
    <row r="92" spans="1:38">
      <c r="D92" s="1682" t="s">
        <v>568</v>
      </c>
      <c r="E92" s="1407">
        <f>SUM(E30:E34)+(E59-E65-E66)*E77</f>
        <v>1044.1755624172915</v>
      </c>
      <c r="F92" s="1406">
        <f t="shared" ref="F92:K92" si="81">SUM(F30:F34)+(F59-F65-F66)*F77</f>
        <v>63</v>
      </c>
      <c r="G92" s="1404">
        <f t="shared" si="81"/>
        <v>164.10800385728061</v>
      </c>
      <c r="H92" s="1405">
        <f t="shared" si="81"/>
        <v>383.35012594458436</v>
      </c>
      <c r="I92" s="1405">
        <f t="shared" si="81"/>
        <v>224.41647597254004</v>
      </c>
      <c r="J92" s="1405">
        <f t="shared" si="81"/>
        <v>404.35001382361071</v>
      </c>
      <c r="K92" s="1406">
        <f t="shared" si="81"/>
        <v>203.00369996636394</v>
      </c>
      <c r="L92" s="809">
        <f t="shared" si="46"/>
        <v>1379.2283195643797</v>
      </c>
      <c r="M92" s="1464">
        <f>SUM(M30:M34)+(M59-M65-M66)*M77</f>
        <v>1044.1755624172915</v>
      </c>
      <c r="N92" s="1406">
        <f t="shared" ref="N92:S92" si="82">SUM(N30:N34)+(N59-N65-N66)*N77</f>
        <v>63</v>
      </c>
      <c r="O92" s="1404">
        <f t="shared" si="82"/>
        <v>164.10800385728061</v>
      </c>
      <c r="P92" s="1405">
        <f t="shared" si="82"/>
        <v>383.35012594458436</v>
      </c>
      <c r="Q92" s="1405">
        <f t="shared" si="82"/>
        <v>224.41647597254004</v>
      </c>
      <c r="R92" s="1405">
        <f t="shared" si="82"/>
        <v>404.35001382361071</v>
      </c>
      <c r="S92" s="1408">
        <f t="shared" si="82"/>
        <v>203.00369996636394</v>
      </c>
      <c r="T92" s="1407">
        <f>SUM(T30:T34)+(T59-T65-T66)*T77</f>
        <v>0</v>
      </c>
      <c r="U92" s="1406">
        <f t="shared" ref="U92:Z92" si="83">SUM(U30:U34)+(U59-U65-U66)*U77</f>
        <v>0</v>
      </c>
      <c r="V92" s="1404">
        <f t="shared" si="83"/>
        <v>0</v>
      </c>
      <c r="W92" s="1405">
        <f t="shared" si="83"/>
        <v>0</v>
      </c>
      <c r="X92" s="1405">
        <f t="shared" si="83"/>
        <v>0</v>
      </c>
      <c r="Y92" s="1405">
        <f t="shared" si="83"/>
        <v>0</v>
      </c>
      <c r="Z92" s="1406">
        <f t="shared" si="83"/>
        <v>0</v>
      </c>
      <c r="AA92" s="920">
        <f t="shared" si="62"/>
        <v>0</v>
      </c>
      <c r="AB92" s="237"/>
      <c r="AC92" s="237"/>
      <c r="AD92" s="535"/>
      <c r="AE92" s="535"/>
      <c r="AL92" s="1711"/>
    </row>
    <row r="93" spans="1:38">
      <c r="D93" s="1682" t="s">
        <v>869</v>
      </c>
      <c r="E93" s="1407">
        <f>SUM(E42:E46)+(E59-E65-E66)*E78</f>
        <v>66.462284958094401</v>
      </c>
      <c r="F93" s="1406">
        <f t="shared" ref="F93:K93" si="84">SUM(F42:F46)+(F59-F65-F66)*F78</f>
        <v>68</v>
      </c>
      <c r="G93" s="1404">
        <f t="shared" si="84"/>
        <v>770.01350048216011</v>
      </c>
      <c r="H93" s="1405">
        <f t="shared" si="84"/>
        <v>37.090680100755669</v>
      </c>
      <c r="I93" s="1405">
        <f t="shared" si="84"/>
        <v>59.758962623951177</v>
      </c>
      <c r="J93" s="1405">
        <f t="shared" si="84"/>
        <v>388.36909040641416</v>
      </c>
      <c r="K93" s="1406">
        <f t="shared" si="84"/>
        <v>158.55869492095525</v>
      </c>
      <c r="L93" s="809">
        <f t="shared" si="46"/>
        <v>1413.7909285342364</v>
      </c>
      <c r="M93" s="1464">
        <f>SUM(M42:M46)+(M59-M65-M66)*M78</f>
        <v>66.462284958094401</v>
      </c>
      <c r="N93" s="1406">
        <f t="shared" ref="N93:S93" si="85">SUM(N42:N46)+(N59-N65-N66)*N78</f>
        <v>68</v>
      </c>
      <c r="O93" s="1404">
        <f t="shared" si="85"/>
        <v>770.01350048216011</v>
      </c>
      <c r="P93" s="1405">
        <f t="shared" si="85"/>
        <v>37.090680100755669</v>
      </c>
      <c r="Q93" s="1405">
        <f t="shared" si="85"/>
        <v>59.758962623951177</v>
      </c>
      <c r="R93" s="1405">
        <f t="shared" si="85"/>
        <v>388.36909040641416</v>
      </c>
      <c r="S93" s="1408">
        <f t="shared" si="85"/>
        <v>158.55869492095525</v>
      </c>
      <c r="T93" s="1407">
        <f>SUM(T42:T46)+(T59-T65-T66)*T78</f>
        <v>0</v>
      </c>
      <c r="U93" s="1406">
        <f t="shared" ref="U93:Z93" si="86">SUM(U42:U46)+(U59-U65-U66)*U78</f>
        <v>0</v>
      </c>
      <c r="V93" s="1404">
        <f t="shared" si="86"/>
        <v>0</v>
      </c>
      <c r="W93" s="1405">
        <f t="shared" si="86"/>
        <v>0</v>
      </c>
      <c r="X93" s="1405">
        <f t="shared" si="86"/>
        <v>0</v>
      </c>
      <c r="Y93" s="1405">
        <f t="shared" si="86"/>
        <v>0</v>
      </c>
      <c r="Z93" s="1406">
        <f t="shared" si="86"/>
        <v>0</v>
      </c>
      <c r="AA93" s="920">
        <f t="shared" si="62"/>
        <v>0</v>
      </c>
      <c r="AB93" s="237"/>
      <c r="AC93" s="237"/>
      <c r="AD93" s="535"/>
      <c r="AE93" s="535"/>
      <c r="AL93" s="1711"/>
    </row>
    <row r="94" spans="1:38" ht="13.5" thickBot="1">
      <c r="D94" s="1683" t="s">
        <v>569</v>
      </c>
      <c r="E94" s="1412">
        <f>SUM(E51:E55)+(E59-E65-E66)*E79</f>
        <v>107.36215262461403</v>
      </c>
      <c r="F94" s="1411">
        <f t="shared" ref="F94:K94" si="87">SUM(F51:F55)+(F59-F65-F66)*F79</f>
        <v>24</v>
      </c>
      <c r="G94" s="1409">
        <f t="shared" si="87"/>
        <v>19.878495660559306</v>
      </c>
      <c r="H94" s="1410">
        <f t="shared" si="87"/>
        <v>164.55919395465995</v>
      </c>
      <c r="I94" s="1410">
        <f t="shared" si="87"/>
        <v>39.824561403508774</v>
      </c>
      <c r="J94" s="1410">
        <f t="shared" si="87"/>
        <v>37.280895769975118</v>
      </c>
      <c r="K94" s="1411">
        <f t="shared" si="87"/>
        <v>38.437605112680792</v>
      </c>
      <c r="L94" s="1439">
        <f t="shared" si="46"/>
        <v>299.98075190138394</v>
      </c>
      <c r="M94" s="1465">
        <f>SUM(M51:M55)+(M59-M65-M66)*M79</f>
        <v>107.36215262461403</v>
      </c>
      <c r="N94" s="1411">
        <f t="shared" ref="N94:S94" si="88">SUM(N51:N55)+(N59-N65-N66)*N79</f>
        <v>24</v>
      </c>
      <c r="O94" s="1409">
        <f t="shared" si="88"/>
        <v>19.878495660559306</v>
      </c>
      <c r="P94" s="1410">
        <f t="shared" si="88"/>
        <v>164.55919395465995</v>
      </c>
      <c r="Q94" s="1410">
        <f t="shared" si="88"/>
        <v>39.824561403508774</v>
      </c>
      <c r="R94" s="1410">
        <f t="shared" si="88"/>
        <v>37.280895769975118</v>
      </c>
      <c r="S94" s="1413">
        <f t="shared" si="88"/>
        <v>38.437605112680792</v>
      </c>
      <c r="T94" s="1412">
        <f>SUM(T51:T55)+(T59-T65-T66)*T79</f>
        <v>0</v>
      </c>
      <c r="U94" s="1411">
        <f t="shared" ref="U94:Z94" si="89">SUM(U51:U55)+(U59-U65-U66)*U79</f>
        <v>0</v>
      </c>
      <c r="V94" s="1409">
        <f t="shared" si="89"/>
        <v>0</v>
      </c>
      <c r="W94" s="1410">
        <f t="shared" si="89"/>
        <v>0</v>
      </c>
      <c r="X94" s="1410">
        <f t="shared" si="89"/>
        <v>0</v>
      </c>
      <c r="Y94" s="1410">
        <f t="shared" si="89"/>
        <v>0</v>
      </c>
      <c r="Z94" s="1411">
        <f t="shared" si="89"/>
        <v>0</v>
      </c>
      <c r="AA94" s="918">
        <f t="shared" si="62"/>
        <v>0</v>
      </c>
      <c r="AB94" s="237"/>
      <c r="AC94" s="237"/>
      <c r="AD94" s="535"/>
      <c r="AE94" s="535"/>
      <c r="AL94" s="1711"/>
    </row>
    <row r="95" spans="1:38">
      <c r="D95" s="1687" t="s">
        <v>1250</v>
      </c>
      <c r="E95" s="1398">
        <f t="shared" ref="E95:K95" si="90">SUM(E96:E98)</f>
        <v>1100</v>
      </c>
      <c r="F95" s="913">
        <f t="shared" si="90"/>
        <v>2278</v>
      </c>
      <c r="G95" s="1403">
        <f t="shared" si="90"/>
        <v>1388.9999999999998</v>
      </c>
      <c r="H95" s="912">
        <f t="shared" si="90"/>
        <v>2264</v>
      </c>
      <c r="I95" s="912">
        <f t="shared" si="90"/>
        <v>2760.9999999999995</v>
      </c>
      <c r="J95" s="912">
        <f t="shared" si="90"/>
        <v>3338</v>
      </c>
      <c r="K95" s="913">
        <f t="shared" si="90"/>
        <v>3113.9999999999995</v>
      </c>
      <c r="L95" s="1440">
        <f t="shared" si="46"/>
        <v>12866</v>
      </c>
      <c r="M95" s="1398">
        <f t="shared" ref="M95:Z95" si="91">SUM(M96:M98)</f>
        <v>1100</v>
      </c>
      <c r="N95" s="913">
        <f t="shared" si="91"/>
        <v>2278</v>
      </c>
      <c r="O95" s="1403">
        <f t="shared" si="91"/>
        <v>1388.9999999999998</v>
      </c>
      <c r="P95" s="912">
        <f t="shared" si="91"/>
        <v>2264</v>
      </c>
      <c r="Q95" s="912">
        <f t="shared" si="91"/>
        <v>2760.9999999999995</v>
      </c>
      <c r="R95" s="912">
        <f t="shared" si="91"/>
        <v>3338</v>
      </c>
      <c r="S95" s="914">
        <f t="shared" si="91"/>
        <v>3113.9999999999995</v>
      </c>
      <c r="T95" s="1398">
        <f t="shared" si="91"/>
        <v>0</v>
      </c>
      <c r="U95" s="913">
        <f t="shared" si="91"/>
        <v>0</v>
      </c>
      <c r="V95" s="1403">
        <f t="shared" si="91"/>
        <v>0</v>
      </c>
      <c r="W95" s="912">
        <f t="shared" si="91"/>
        <v>0</v>
      </c>
      <c r="X95" s="912">
        <f t="shared" si="91"/>
        <v>0</v>
      </c>
      <c r="Y95" s="912">
        <f t="shared" si="91"/>
        <v>0</v>
      </c>
      <c r="Z95" s="913">
        <f t="shared" si="91"/>
        <v>0</v>
      </c>
      <c r="AA95" s="1223">
        <f t="shared" si="62"/>
        <v>0</v>
      </c>
      <c r="AB95" s="237"/>
      <c r="AC95" s="237"/>
      <c r="AD95" s="535"/>
      <c r="AE95" s="535"/>
      <c r="AL95" s="1711"/>
    </row>
    <row r="96" spans="1:38">
      <c r="D96" s="1682" t="s">
        <v>568</v>
      </c>
      <c r="E96" s="1407">
        <f>E87-E92</f>
        <v>1100</v>
      </c>
      <c r="F96" s="1406">
        <f t="shared" ref="F96:K96" si="92">F87-F92</f>
        <v>2003</v>
      </c>
      <c r="G96" s="1404">
        <f t="shared" si="92"/>
        <v>1349.6914175506267</v>
      </c>
      <c r="H96" s="1405">
        <f t="shared" si="92"/>
        <v>1915.9435768261965</v>
      </c>
      <c r="I96" s="1405">
        <f t="shared" si="92"/>
        <v>2002.8546910755149</v>
      </c>
      <c r="J96" s="1405">
        <f t="shared" si="92"/>
        <v>2337.0577826928393</v>
      </c>
      <c r="K96" s="1406">
        <f t="shared" si="92"/>
        <v>2131.3891691893709</v>
      </c>
      <c r="L96" s="809">
        <f t="shared" si="46"/>
        <v>9736.9366373345474</v>
      </c>
      <c r="M96" s="1407">
        <f>M87-M92</f>
        <v>1100</v>
      </c>
      <c r="N96" s="1406">
        <f t="shared" ref="N96:Z96" si="93">N87-N92</f>
        <v>2003</v>
      </c>
      <c r="O96" s="1404">
        <f t="shared" si="93"/>
        <v>1349.6914175506267</v>
      </c>
      <c r="P96" s="1405">
        <f t="shared" si="93"/>
        <v>1915.9435768261965</v>
      </c>
      <c r="Q96" s="1405">
        <f t="shared" si="93"/>
        <v>2002.8546910755149</v>
      </c>
      <c r="R96" s="1405">
        <f t="shared" si="93"/>
        <v>2337.0577826928393</v>
      </c>
      <c r="S96" s="1408">
        <f t="shared" si="93"/>
        <v>2131.3891691893709</v>
      </c>
      <c r="T96" s="1407">
        <f t="shared" si="93"/>
        <v>0</v>
      </c>
      <c r="U96" s="1406">
        <f t="shared" si="93"/>
        <v>0</v>
      </c>
      <c r="V96" s="1404">
        <f t="shared" si="93"/>
        <v>0</v>
      </c>
      <c r="W96" s="1405">
        <f t="shared" si="93"/>
        <v>0</v>
      </c>
      <c r="X96" s="1405">
        <f t="shared" si="93"/>
        <v>0</v>
      </c>
      <c r="Y96" s="1405">
        <f t="shared" si="93"/>
        <v>0</v>
      </c>
      <c r="Z96" s="1406">
        <f t="shared" si="93"/>
        <v>0</v>
      </c>
      <c r="AA96" s="920">
        <f t="shared" si="62"/>
        <v>0</v>
      </c>
      <c r="AB96" s="237"/>
      <c r="AC96" s="237"/>
      <c r="AD96" s="535"/>
      <c r="AE96" s="535"/>
      <c r="AL96" s="1711"/>
    </row>
    <row r="97" spans="1:38">
      <c r="D97" s="1682" t="s">
        <v>869</v>
      </c>
      <c r="E97" s="1407">
        <f t="shared" ref="E97:K98" si="94">E88-E93</f>
        <v>0</v>
      </c>
      <c r="F97" s="1406">
        <f t="shared" si="94"/>
        <v>125</v>
      </c>
      <c r="G97" s="1404">
        <f t="shared" si="94"/>
        <v>4.9614271938282855</v>
      </c>
      <c r="H97" s="1405">
        <f>H88-H93</f>
        <v>185.37531486146096</v>
      </c>
      <c r="I97" s="1405">
        <f t="shared" si="94"/>
        <v>662.6628527841342</v>
      </c>
      <c r="J97" s="1405">
        <f t="shared" si="94"/>
        <v>951.79789881116949</v>
      </c>
      <c r="K97" s="1406">
        <f t="shared" si="94"/>
        <v>934.7645475950219</v>
      </c>
      <c r="L97" s="809">
        <f t="shared" si="46"/>
        <v>2739.5620412456146</v>
      </c>
      <c r="M97" s="1407">
        <f t="shared" ref="M97:Z97" si="95">M88-M93</f>
        <v>0</v>
      </c>
      <c r="N97" s="1406">
        <f t="shared" si="95"/>
        <v>125</v>
      </c>
      <c r="O97" s="1404">
        <f t="shared" si="95"/>
        <v>4.9614271938282855</v>
      </c>
      <c r="P97" s="1405">
        <f t="shared" si="95"/>
        <v>185.37531486146096</v>
      </c>
      <c r="Q97" s="1405">
        <f t="shared" si="95"/>
        <v>662.6628527841342</v>
      </c>
      <c r="R97" s="1405">
        <f t="shared" si="95"/>
        <v>951.79789881116949</v>
      </c>
      <c r="S97" s="1408">
        <f t="shared" si="95"/>
        <v>934.7645475950219</v>
      </c>
      <c r="T97" s="1407">
        <f t="shared" si="95"/>
        <v>0</v>
      </c>
      <c r="U97" s="1406">
        <f t="shared" si="95"/>
        <v>0</v>
      </c>
      <c r="V97" s="1404">
        <f t="shared" si="95"/>
        <v>0</v>
      </c>
      <c r="W97" s="1405">
        <f t="shared" si="95"/>
        <v>0</v>
      </c>
      <c r="X97" s="1405">
        <f t="shared" si="95"/>
        <v>0</v>
      </c>
      <c r="Y97" s="1405">
        <f t="shared" si="95"/>
        <v>0</v>
      </c>
      <c r="Z97" s="1406">
        <f t="shared" si="95"/>
        <v>0</v>
      </c>
      <c r="AA97" s="920">
        <f t="shared" si="62"/>
        <v>0</v>
      </c>
      <c r="AB97" s="237"/>
      <c r="AC97" s="237"/>
      <c r="AD97" s="535"/>
      <c r="AE97" s="535"/>
      <c r="AL97" s="1711"/>
    </row>
    <row r="98" spans="1:38" ht="13.5" thickBot="1">
      <c r="D98" s="1685" t="s">
        <v>569</v>
      </c>
      <c r="E98" s="1417">
        <f t="shared" si="94"/>
        <v>0</v>
      </c>
      <c r="F98" s="1416">
        <f t="shared" si="94"/>
        <v>150</v>
      </c>
      <c r="G98" s="1414">
        <f t="shared" si="94"/>
        <v>34.347155255544834</v>
      </c>
      <c r="H98" s="1415">
        <f t="shared" si="94"/>
        <v>162.68110831234256</v>
      </c>
      <c r="I98" s="1415">
        <f t="shared" si="94"/>
        <v>95.482456140350877</v>
      </c>
      <c r="J98" s="1415">
        <f t="shared" si="94"/>
        <v>49.144318495991158</v>
      </c>
      <c r="K98" s="1416">
        <f t="shared" si="94"/>
        <v>47.846283215607137</v>
      </c>
      <c r="L98" s="1441">
        <f t="shared" si="46"/>
        <v>389.50132141983659</v>
      </c>
      <c r="M98" s="1417">
        <f t="shared" ref="M98:Z98" si="96">M89-M94</f>
        <v>0</v>
      </c>
      <c r="N98" s="1416">
        <f t="shared" si="96"/>
        <v>150</v>
      </c>
      <c r="O98" s="1414">
        <f t="shared" si="96"/>
        <v>34.347155255544834</v>
      </c>
      <c r="P98" s="1415">
        <f t="shared" si="96"/>
        <v>162.68110831234256</v>
      </c>
      <c r="Q98" s="1415">
        <f t="shared" si="96"/>
        <v>95.482456140350877</v>
      </c>
      <c r="R98" s="1415">
        <f t="shared" si="96"/>
        <v>49.144318495991158</v>
      </c>
      <c r="S98" s="1418">
        <f t="shared" si="96"/>
        <v>47.846283215607137</v>
      </c>
      <c r="T98" s="1417">
        <f t="shared" si="96"/>
        <v>0</v>
      </c>
      <c r="U98" s="1416">
        <f t="shared" si="96"/>
        <v>0</v>
      </c>
      <c r="V98" s="1414">
        <f t="shared" si="96"/>
        <v>0</v>
      </c>
      <c r="W98" s="1415">
        <f t="shared" si="96"/>
        <v>0</v>
      </c>
      <c r="X98" s="1415">
        <f t="shared" si="96"/>
        <v>0</v>
      </c>
      <c r="Y98" s="1415">
        <f t="shared" si="96"/>
        <v>0</v>
      </c>
      <c r="Z98" s="1416">
        <f t="shared" si="96"/>
        <v>0</v>
      </c>
      <c r="AA98" s="918">
        <f t="shared" si="62"/>
        <v>0</v>
      </c>
      <c r="AB98" s="237"/>
      <c r="AC98" s="237"/>
      <c r="AD98" s="535"/>
      <c r="AE98" s="535"/>
      <c r="AL98" s="1711"/>
    </row>
    <row r="99" spans="1:38">
      <c r="F99" s="850"/>
      <c r="G99" s="513"/>
      <c r="H99" s="513"/>
      <c r="I99" s="513"/>
      <c r="J99" s="513"/>
      <c r="K99" s="513"/>
      <c r="L99" s="480"/>
      <c r="M99" s="858"/>
      <c r="N99" s="858"/>
      <c r="O99" s="480"/>
      <c r="P99" s="480"/>
      <c r="Q99" s="480"/>
      <c r="R99" s="480"/>
      <c r="S99" s="480"/>
      <c r="T99" s="858"/>
      <c r="U99" s="858"/>
      <c r="V99" s="480"/>
      <c r="W99" s="480"/>
      <c r="X99" s="480"/>
      <c r="Y99" s="480"/>
      <c r="Z99" s="480"/>
      <c r="AA99" s="480"/>
      <c r="AB99" s="237"/>
      <c r="AC99" s="1940" t="str">
        <f>'8. Ремонтна програма'!B52</f>
        <v>Главен счетоводител:</v>
      </c>
      <c r="AD99" s="535"/>
      <c r="AE99" s="480" t="str">
        <f>'8. Ремонтна програма'!C52</f>
        <v>..............................................</v>
      </c>
      <c r="AL99" s="1711"/>
    </row>
    <row r="100" spans="1:38">
      <c r="L100" s="480"/>
      <c r="M100" s="858" t="s">
        <v>263</v>
      </c>
      <c r="N100" s="858"/>
      <c r="O100" s="480"/>
      <c r="P100" s="480"/>
      <c r="Q100" s="480"/>
      <c r="R100" s="480"/>
      <c r="S100" s="480"/>
      <c r="T100" s="858"/>
      <c r="U100" s="858"/>
      <c r="V100" s="480"/>
      <c r="W100" s="480"/>
      <c r="X100" s="480"/>
      <c r="Y100" s="480"/>
      <c r="Z100" s="480"/>
      <c r="AA100" s="480"/>
      <c r="AB100" s="237"/>
      <c r="AC100" s="237"/>
      <c r="AD100" s="535"/>
      <c r="AE100" s="1941" t="str">
        <f>'8. Ремонтна програма'!C53</f>
        <v>(подпис)</v>
      </c>
      <c r="AL100" s="1711"/>
    </row>
    <row r="101" spans="1:38" s="158" customFormat="1">
      <c r="A101" s="1677"/>
      <c r="B101" s="162" t="str">
        <f>'8. Ремонтна програма'!A51</f>
        <v>Дата: 27.08.2018 г.</v>
      </c>
      <c r="C101" s="161"/>
      <c r="D101" s="774"/>
      <c r="E101" s="851"/>
      <c r="F101" s="851"/>
      <c r="L101" s="530"/>
      <c r="M101" s="859"/>
      <c r="N101" s="859"/>
      <c r="O101" s="482"/>
      <c r="P101" s="482"/>
      <c r="Q101" s="482"/>
      <c r="R101" s="482"/>
      <c r="S101" s="482"/>
      <c r="T101" s="859"/>
      <c r="U101" s="859"/>
      <c r="V101" s="482"/>
      <c r="W101" s="482"/>
      <c r="X101" s="482"/>
      <c r="Y101" s="482"/>
      <c r="Z101" s="482"/>
      <c r="AA101" s="482"/>
      <c r="AD101" s="482"/>
      <c r="AE101" s="482"/>
      <c r="AF101" s="482"/>
      <c r="AG101" s="482"/>
      <c r="AH101" s="482"/>
      <c r="AI101" s="482"/>
      <c r="AJ101" s="482"/>
      <c r="AL101" s="1711"/>
    </row>
    <row r="102" spans="1:38" s="158" customFormat="1">
      <c r="A102" s="1677"/>
      <c r="B102" s="163"/>
      <c r="D102" s="1688"/>
      <c r="E102" s="852"/>
      <c r="F102" s="852"/>
      <c r="I102" s="164"/>
      <c r="J102" s="163"/>
      <c r="L102" s="530"/>
      <c r="M102" s="859"/>
      <c r="N102" s="859"/>
      <c r="O102" s="482"/>
      <c r="P102" s="482"/>
      <c r="Q102" s="482"/>
      <c r="R102" s="482"/>
      <c r="S102" s="482"/>
      <c r="T102" s="859"/>
      <c r="U102" s="859"/>
      <c r="V102" s="482"/>
      <c r="W102" s="482"/>
      <c r="X102" s="482"/>
      <c r="Y102" s="482"/>
      <c r="Z102" s="482"/>
      <c r="AA102" s="482"/>
      <c r="AD102" s="482"/>
      <c r="AE102" s="482"/>
      <c r="AF102" s="482"/>
      <c r="AG102" s="482"/>
      <c r="AH102" s="482"/>
      <c r="AI102" s="482"/>
      <c r="AJ102" s="482"/>
      <c r="AL102" s="1711"/>
    </row>
    <row r="103" spans="1:38" s="158" customFormat="1">
      <c r="A103" s="1677"/>
      <c r="B103" s="161"/>
      <c r="D103" s="1688"/>
      <c r="E103" s="852"/>
      <c r="F103" s="852"/>
      <c r="I103" s="165"/>
      <c r="J103" s="167"/>
      <c r="L103" s="530"/>
      <c r="M103" s="859"/>
      <c r="N103" s="859"/>
      <c r="O103" s="482"/>
      <c r="P103" s="482"/>
      <c r="Q103" s="482"/>
      <c r="R103" s="482"/>
      <c r="S103" s="482"/>
      <c r="T103" s="859"/>
      <c r="U103" s="859"/>
      <c r="V103" s="482"/>
      <c r="W103" s="482"/>
      <c r="X103" s="482"/>
      <c r="Y103" s="482"/>
      <c r="Z103" s="482"/>
      <c r="AA103" s="482"/>
      <c r="AD103" s="482"/>
      <c r="AE103" s="482"/>
      <c r="AF103" s="482"/>
      <c r="AG103" s="482"/>
      <c r="AH103" s="482"/>
      <c r="AI103" s="482"/>
      <c r="AJ103" s="482"/>
      <c r="AL103" s="1711"/>
    </row>
    <row r="104" spans="1:38" s="158" customFormat="1">
      <c r="A104" s="1677"/>
      <c r="B104" s="161"/>
      <c r="D104" s="1688"/>
      <c r="E104" s="852"/>
      <c r="F104" s="852"/>
      <c r="I104" s="165"/>
      <c r="J104" s="166"/>
      <c r="L104" s="530"/>
      <c r="M104" s="859"/>
      <c r="N104" s="859"/>
      <c r="O104" s="482"/>
      <c r="P104" s="482"/>
      <c r="Q104" s="482"/>
      <c r="R104" s="482"/>
      <c r="S104" s="482"/>
      <c r="T104" s="859"/>
      <c r="U104" s="859"/>
      <c r="V104" s="482"/>
      <c r="W104" s="482"/>
      <c r="X104" s="482"/>
      <c r="Y104" s="482"/>
      <c r="Z104" s="482"/>
      <c r="AA104" s="482"/>
      <c r="AD104" s="482"/>
      <c r="AE104" s="482"/>
      <c r="AF104" s="482"/>
      <c r="AG104" s="482"/>
      <c r="AH104" s="482"/>
      <c r="AI104" s="482"/>
      <c r="AJ104" s="482"/>
      <c r="AL104" s="1711"/>
    </row>
    <row r="105" spans="1:38" s="158" customFormat="1">
      <c r="A105" s="1677"/>
      <c r="B105" s="161"/>
      <c r="C105" s="161"/>
      <c r="D105" s="774"/>
      <c r="E105" s="852"/>
      <c r="F105" s="852"/>
      <c r="I105" s="165"/>
      <c r="J105" s="166"/>
      <c r="L105" s="530"/>
      <c r="M105" s="859"/>
      <c r="N105" s="859"/>
      <c r="O105" s="482"/>
      <c r="P105" s="482"/>
      <c r="Q105" s="482"/>
      <c r="R105" s="482"/>
      <c r="S105" s="482"/>
      <c r="T105" s="859"/>
      <c r="U105" s="859"/>
      <c r="V105" s="482"/>
      <c r="W105" s="482"/>
      <c r="X105" s="482"/>
      <c r="Y105" s="482"/>
      <c r="Z105" s="482"/>
      <c r="AA105" s="482"/>
      <c r="AC105" s="1943" t="str">
        <f>'8. Ремонтна програма'!B56</f>
        <v>Управител:</v>
      </c>
      <c r="AD105" s="482"/>
      <c r="AE105" s="482" t="str">
        <f>'8. Ремонтна програма'!C56</f>
        <v>..............................................</v>
      </c>
      <c r="AF105" s="482"/>
      <c r="AG105" s="482"/>
      <c r="AH105" s="482"/>
      <c r="AI105" s="482"/>
      <c r="AJ105" s="482"/>
      <c r="AL105" s="1714"/>
    </row>
    <row r="106" spans="1:38" s="158" customFormat="1">
      <c r="A106" s="3487" t="s">
        <v>247</v>
      </c>
      <c r="B106" s="3487"/>
      <c r="C106" s="3487"/>
      <c r="D106" s="3487"/>
      <c r="E106" s="852"/>
      <c r="F106" s="852"/>
      <c r="I106" s="164"/>
      <c r="J106" s="163"/>
      <c r="L106" s="530"/>
      <c r="M106" s="859"/>
      <c r="N106" s="859"/>
      <c r="O106" s="482"/>
      <c r="P106" s="482"/>
      <c r="Q106" s="482"/>
      <c r="R106" s="482"/>
      <c r="S106" s="482"/>
      <c r="T106" s="859"/>
      <c r="U106" s="859"/>
      <c r="V106" s="482"/>
      <c r="W106" s="482"/>
      <c r="X106" s="482"/>
      <c r="Y106" s="482"/>
      <c r="Z106" s="482"/>
      <c r="AA106" s="482"/>
      <c r="AD106" s="482"/>
      <c r="AE106" s="1942" t="str">
        <f>'8. Ремонтна програма'!C57</f>
        <v>(подпис и печат)</v>
      </c>
      <c r="AF106" s="482"/>
      <c r="AG106" s="482"/>
      <c r="AH106" s="482"/>
      <c r="AI106" s="482"/>
      <c r="AJ106" s="482"/>
      <c r="AL106" s="1715"/>
    </row>
    <row r="107" spans="1:38" s="158" customFormat="1">
      <c r="A107" s="3499" t="s">
        <v>248</v>
      </c>
      <c r="B107" s="3499"/>
      <c r="C107" s="3499"/>
      <c r="D107" s="3499"/>
      <c r="E107" s="852"/>
      <c r="F107" s="852"/>
      <c r="I107" s="168"/>
      <c r="J107" s="167"/>
      <c r="L107" s="530"/>
      <c r="M107" s="859"/>
      <c r="N107" s="859"/>
      <c r="O107" s="482"/>
      <c r="P107" s="482"/>
      <c r="Q107" s="482"/>
      <c r="R107" s="482"/>
      <c r="S107" s="482"/>
      <c r="T107" s="859"/>
      <c r="U107" s="859"/>
      <c r="V107" s="482"/>
      <c r="W107" s="482"/>
      <c r="X107" s="482"/>
      <c r="Y107" s="482"/>
      <c r="Z107" s="482"/>
      <c r="AA107" s="482"/>
      <c r="AD107" s="482"/>
      <c r="AE107" s="482"/>
      <c r="AF107" s="482"/>
      <c r="AG107" s="482"/>
      <c r="AH107" s="482"/>
      <c r="AI107" s="482"/>
      <c r="AJ107" s="482"/>
      <c r="AL107" s="1716"/>
    </row>
    <row r="108" spans="1:38" s="158" customFormat="1" ht="39.75" customHeight="1">
      <c r="A108" s="3408" t="s">
        <v>1554</v>
      </c>
      <c r="B108" s="3408"/>
      <c r="C108" s="3408"/>
      <c r="D108" s="3408"/>
      <c r="E108" s="3408"/>
      <c r="F108" s="3408"/>
      <c r="G108" s="3408"/>
      <c r="H108" s="3408"/>
      <c r="I108" s="3408"/>
      <c r="J108" s="3408"/>
      <c r="K108" s="3408"/>
      <c r="L108" s="3408"/>
      <c r="M108" s="3408"/>
      <c r="N108" s="3408"/>
      <c r="O108" s="3408"/>
      <c r="P108" s="3408"/>
      <c r="Q108" s="3408"/>
      <c r="R108" s="482"/>
      <c r="S108" s="482"/>
      <c r="T108" s="859"/>
      <c r="U108" s="859"/>
      <c r="V108" s="482"/>
      <c r="W108" s="482"/>
      <c r="X108" s="482"/>
      <c r="Y108" s="482"/>
      <c r="Z108" s="482"/>
      <c r="AA108" s="482"/>
      <c r="AD108" s="482"/>
      <c r="AE108" s="482"/>
      <c r="AF108" s="482"/>
      <c r="AG108" s="482"/>
      <c r="AH108" s="482"/>
      <c r="AI108" s="482"/>
      <c r="AJ108" s="482"/>
      <c r="AL108" s="1717"/>
    </row>
    <row r="109" spans="1:38" s="220" customFormat="1">
      <c r="A109" s="177"/>
      <c r="B109" s="177"/>
      <c r="C109" s="171"/>
      <c r="D109" s="180"/>
      <c r="E109" s="230"/>
      <c r="F109" s="230"/>
      <c r="L109" s="531"/>
      <c r="M109" s="860"/>
      <c r="N109" s="860"/>
      <c r="O109" s="483"/>
      <c r="P109" s="483"/>
      <c r="Q109" s="483"/>
      <c r="R109" s="483"/>
      <c r="S109" s="483"/>
      <c r="T109" s="860"/>
      <c r="U109" s="860"/>
      <c r="V109" s="483"/>
      <c r="W109" s="483"/>
      <c r="X109" s="483"/>
      <c r="Y109" s="483"/>
      <c r="Z109" s="483"/>
      <c r="AA109" s="483"/>
      <c r="AD109" s="483"/>
      <c r="AE109" s="483"/>
      <c r="AF109" s="483"/>
      <c r="AG109" s="483"/>
      <c r="AH109" s="483"/>
      <c r="AI109" s="483"/>
      <c r="AJ109" s="483"/>
      <c r="AL109" s="1718"/>
    </row>
    <row r="110" spans="1:38" s="235" customFormat="1">
      <c r="A110" s="177"/>
      <c r="B110" s="177"/>
      <c r="C110" s="171"/>
      <c r="D110" s="180"/>
      <c r="E110" s="230"/>
      <c r="F110" s="230"/>
      <c r="G110" s="234"/>
      <c r="H110" s="234"/>
      <c r="J110" s="236"/>
      <c r="L110" s="532"/>
      <c r="M110" s="861"/>
      <c r="N110" s="861"/>
      <c r="O110" s="484"/>
      <c r="P110" s="484"/>
      <c r="Q110" s="484"/>
      <c r="R110" s="484"/>
      <c r="S110" s="484"/>
      <c r="T110" s="861"/>
      <c r="U110" s="861"/>
      <c r="V110" s="484"/>
      <c r="W110" s="484"/>
      <c r="X110" s="484"/>
      <c r="Y110" s="484"/>
      <c r="Z110" s="484"/>
      <c r="AA110" s="484"/>
      <c r="AD110" s="484"/>
      <c r="AE110" s="484"/>
      <c r="AF110" s="484"/>
      <c r="AG110" s="484"/>
      <c r="AH110" s="484"/>
      <c r="AI110" s="484"/>
      <c r="AJ110" s="484"/>
      <c r="AL110" s="1718"/>
    </row>
  </sheetData>
  <sheetProtection password="C6DB" sheet="1" objects="1" scenarios="1" formatCells="0" formatColumns="0" formatRows="0"/>
  <autoFilter ref="B1:B107"/>
  <mergeCells count="22">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 ref="A107:D107"/>
    <mergeCell ref="AC8:AC9"/>
    <mergeCell ref="A3:AA3"/>
    <mergeCell ref="A4:AA4"/>
    <mergeCell ref="A5:AA5"/>
    <mergeCell ref="A106:D106"/>
  </mergeCells>
  <printOptions horizontalCentered="1"/>
  <pageMargins left="0.31496062992125984" right="0.31496062992125984" top="1.1417322834645669" bottom="0.15748031496062992" header="0.31496062992125984" footer="0.31496062992125984"/>
  <pageSetup paperSize="9" scale="50" orientation="landscape" r:id="rId1"/>
  <headerFooter>
    <oddFooter>&amp;A&amp;RPage &amp;P</oddFooter>
  </headerFooter>
  <rowBreaks count="2" manualBreakCount="2">
    <brk id="34" max="37" man="1"/>
    <brk id="65" max="37" man="1"/>
  </rowBreaks>
  <colBreaks count="2" manualBreakCount="2">
    <brk id="27" max="107" man="1"/>
    <brk id="38" max="109" man="1"/>
  </colBreaks>
  <ignoredErrors>
    <ignoredError sqref="N86:N89 P89 R89"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CC"/>
  </sheetPr>
  <dimension ref="A1:W88"/>
  <sheetViews>
    <sheetView showGridLines="0" view="pageBreakPreview" zoomScaleNormal="100" zoomScaleSheetLayoutView="100" workbookViewId="0">
      <pane xSplit="2" ySplit="7" topLeftCell="H23" activePane="bottomRight" state="frozen"/>
      <selection pane="topRight" activeCell="C1" sqref="C1"/>
      <selection pane="bottomLeft" activeCell="A8" sqref="A8"/>
      <selection pane="bottomRight" activeCell="M30" sqref="M30"/>
    </sheetView>
  </sheetViews>
  <sheetFormatPr defaultColWidth="11.85546875" defaultRowHeight="12.75"/>
  <cols>
    <col min="1" max="1" width="6.42578125" style="1236" bestFit="1" customWidth="1"/>
    <col min="2" max="2" width="40" style="33" customWidth="1"/>
    <col min="3" max="23" width="7.85546875" style="33" customWidth="1"/>
    <col min="24" max="257" width="11.85546875" style="33"/>
    <col min="258" max="258" width="35.85546875" style="33" customWidth="1"/>
    <col min="259" max="265" width="10.7109375" style="33" customWidth="1"/>
    <col min="266" max="513" width="11.85546875" style="33"/>
    <col min="514" max="514" width="35.85546875" style="33" customWidth="1"/>
    <col min="515" max="521" width="10.7109375" style="33" customWidth="1"/>
    <col min="522" max="769" width="11.85546875" style="33"/>
    <col min="770" max="770" width="35.85546875" style="33" customWidth="1"/>
    <col min="771" max="777" width="10.7109375" style="33" customWidth="1"/>
    <col min="778" max="1025" width="11.85546875" style="33"/>
    <col min="1026" max="1026" width="35.85546875" style="33" customWidth="1"/>
    <col min="1027" max="1033" width="10.7109375" style="33" customWidth="1"/>
    <col min="1034" max="1281" width="11.85546875" style="33"/>
    <col min="1282" max="1282" width="35.85546875" style="33" customWidth="1"/>
    <col min="1283" max="1289" width="10.7109375" style="33" customWidth="1"/>
    <col min="1290" max="1537" width="11.85546875" style="33"/>
    <col min="1538" max="1538" width="35.85546875" style="33" customWidth="1"/>
    <col min="1539" max="1545" width="10.7109375" style="33" customWidth="1"/>
    <col min="1546" max="1793" width="11.85546875" style="33"/>
    <col min="1794" max="1794" width="35.85546875" style="33" customWidth="1"/>
    <col min="1795" max="1801" width="10.7109375" style="33" customWidth="1"/>
    <col min="1802" max="2049" width="11.85546875" style="33"/>
    <col min="2050" max="2050" width="35.85546875" style="33" customWidth="1"/>
    <col min="2051" max="2057" width="10.7109375" style="33" customWidth="1"/>
    <col min="2058" max="2305" width="11.85546875" style="33"/>
    <col min="2306" max="2306" width="35.85546875" style="33" customWidth="1"/>
    <col min="2307" max="2313" width="10.7109375" style="33" customWidth="1"/>
    <col min="2314" max="2561" width="11.85546875" style="33"/>
    <col min="2562" max="2562" width="35.85546875" style="33" customWidth="1"/>
    <col min="2563" max="2569" width="10.7109375" style="33" customWidth="1"/>
    <col min="2570" max="2817" width="11.85546875" style="33"/>
    <col min="2818" max="2818" width="35.85546875" style="33" customWidth="1"/>
    <col min="2819" max="2825" width="10.7109375" style="33" customWidth="1"/>
    <col min="2826" max="3073" width="11.85546875" style="33"/>
    <col min="3074" max="3074" width="35.85546875" style="33" customWidth="1"/>
    <col min="3075" max="3081" width="10.7109375" style="33" customWidth="1"/>
    <col min="3082" max="3329" width="11.85546875" style="33"/>
    <col min="3330" max="3330" width="35.85546875" style="33" customWidth="1"/>
    <col min="3331" max="3337" width="10.7109375" style="33" customWidth="1"/>
    <col min="3338" max="3585" width="11.85546875" style="33"/>
    <col min="3586" max="3586" width="35.85546875" style="33" customWidth="1"/>
    <col min="3587" max="3593" width="10.7109375" style="33" customWidth="1"/>
    <col min="3594" max="3841" width="11.85546875" style="33"/>
    <col min="3842" max="3842" width="35.85546875" style="33" customWidth="1"/>
    <col min="3843" max="3849" width="10.7109375" style="33" customWidth="1"/>
    <col min="3850" max="4097" width="11.85546875" style="33"/>
    <col min="4098" max="4098" width="35.85546875" style="33" customWidth="1"/>
    <col min="4099" max="4105" width="10.7109375" style="33" customWidth="1"/>
    <col min="4106" max="4353" width="11.85546875" style="33"/>
    <col min="4354" max="4354" width="35.85546875" style="33" customWidth="1"/>
    <col min="4355" max="4361" width="10.7109375" style="33" customWidth="1"/>
    <col min="4362" max="4609" width="11.85546875" style="33"/>
    <col min="4610" max="4610" width="35.85546875" style="33" customWidth="1"/>
    <col min="4611" max="4617" width="10.7109375" style="33" customWidth="1"/>
    <col min="4618" max="4865" width="11.85546875" style="33"/>
    <col min="4866" max="4866" width="35.85546875" style="33" customWidth="1"/>
    <col min="4867" max="4873" width="10.7109375" style="33" customWidth="1"/>
    <col min="4874" max="5121" width="11.85546875" style="33"/>
    <col min="5122" max="5122" width="35.85546875" style="33" customWidth="1"/>
    <col min="5123" max="5129" width="10.7109375" style="33" customWidth="1"/>
    <col min="5130" max="5377" width="11.85546875" style="33"/>
    <col min="5378" max="5378" width="35.85546875" style="33" customWidth="1"/>
    <col min="5379" max="5385" width="10.7109375" style="33" customWidth="1"/>
    <col min="5386" max="5633" width="11.85546875" style="33"/>
    <col min="5634" max="5634" width="35.85546875" style="33" customWidth="1"/>
    <col min="5635" max="5641" width="10.7109375" style="33" customWidth="1"/>
    <col min="5642" max="5889" width="11.85546875" style="33"/>
    <col min="5890" max="5890" width="35.85546875" style="33" customWidth="1"/>
    <col min="5891" max="5897" width="10.7109375" style="33" customWidth="1"/>
    <col min="5898" max="6145" width="11.85546875" style="33"/>
    <col min="6146" max="6146" width="35.85546875" style="33" customWidth="1"/>
    <col min="6147" max="6153" width="10.7109375" style="33" customWidth="1"/>
    <col min="6154" max="6401" width="11.85546875" style="33"/>
    <col min="6402" max="6402" width="35.85546875" style="33" customWidth="1"/>
    <col min="6403" max="6409" width="10.7109375" style="33" customWidth="1"/>
    <col min="6410" max="6657" width="11.85546875" style="33"/>
    <col min="6658" max="6658" width="35.85546875" style="33" customWidth="1"/>
    <col min="6659" max="6665" width="10.7109375" style="33" customWidth="1"/>
    <col min="6666" max="6913" width="11.85546875" style="33"/>
    <col min="6914" max="6914" width="35.85546875" style="33" customWidth="1"/>
    <col min="6915" max="6921" width="10.7109375" style="33" customWidth="1"/>
    <col min="6922" max="7169" width="11.85546875" style="33"/>
    <col min="7170" max="7170" width="35.85546875" style="33" customWidth="1"/>
    <col min="7171" max="7177" width="10.7109375" style="33" customWidth="1"/>
    <col min="7178" max="7425" width="11.85546875" style="33"/>
    <col min="7426" max="7426" width="35.85546875" style="33" customWidth="1"/>
    <col min="7427" max="7433" width="10.7109375" style="33" customWidth="1"/>
    <col min="7434" max="7681" width="11.85546875" style="33"/>
    <col min="7682" max="7682" width="35.85546875" style="33" customWidth="1"/>
    <col min="7683" max="7689" width="10.7109375" style="33" customWidth="1"/>
    <col min="7690" max="7937" width="11.85546875" style="33"/>
    <col min="7938" max="7938" width="35.85546875" style="33" customWidth="1"/>
    <col min="7939" max="7945" width="10.7109375" style="33" customWidth="1"/>
    <col min="7946" max="8193" width="11.85546875" style="33"/>
    <col min="8194" max="8194" width="35.85546875" style="33" customWidth="1"/>
    <col min="8195" max="8201" width="10.7109375" style="33" customWidth="1"/>
    <col min="8202" max="8449" width="11.85546875" style="33"/>
    <col min="8450" max="8450" width="35.85546875" style="33" customWidth="1"/>
    <col min="8451" max="8457" width="10.7109375" style="33" customWidth="1"/>
    <col min="8458" max="8705" width="11.85546875" style="33"/>
    <col min="8706" max="8706" width="35.85546875" style="33" customWidth="1"/>
    <col min="8707" max="8713" width="10.7109375" style="33" customWidth="1"/>
    <col min="8714" max="8961" width="11.85546875" style="33"/>
    <col min="8962" max="8962" width="35.85546875" style="33" customWidth="1"/>
    <col min="8963" max="8969" width="10.7109375" style="33" customWidth="1"/>
    <col min="8970" max="9217" width="11.85546875" style="33"/>
    <col min="9218" max="9218" width="35.85546875" style="33" customWidth="1"/>
    <col min="9219" max="9225" width="10.7109375" style="33" customWidth="1"/>
    <col min="9226" max="9473" width="11.85546875" style="33"/>
    <col min="9474" max="9474" width="35.85546875" style="33" customWidth="1"/>
    <col min="9475" max="9481" width="10.7109375" style="33" customWidth="1"/>
    <col min="9482" max="9729" width="11.85546875" style="33"/>
    <col min="9730" max="9730" width="35.85546875" style="33" customWidth="1"/>
    <col min="9731" max="9737" width="10.7109375" style="33" customWidth="1"/>
    <col min="9738" max="9985" width="11.85546875" style="33"/>
    <col min="9986" max="9986" width="35.85546875" style="33" customWidth="1"/>
    <col min="9987" max="9993" width="10.7109375" style="33" customWidth="1"/>
    <col min="9994" max="10241" width="11.85546875" style="33"/>
    <col min="10242" max="10242" width="35.85546875" style="33" customWidth="1"/>
    <col min="10243" max="10249" width="10.7109375" style="33" customWidth="1"/>
    <col min="10250" max="10497" width="11.85546875" style="33"/>
    <col min="10498" max="10498" width="35.85546875" style="33" customWidth="1"/>
    <col min="10499" max="10505" width="10.7109375" style="33" customWidth="1"/>
    <col min="10506" max="10753" width="11.85546875" style="33"/>
    <col min="10754" max="10754" width="35.85546875" style="33" customWidth="1"/>
    <col min="10755" max="10761" width="10.7109375" style="33" customWidth="1"/>
    <col min="10762" max="11009" width="11.85546875" style="33"/>
    <col min="11010" max="11010" width="35.85546875" style="33" customWidth="1"/>
    <col min="11011" max="11017" width="10.7109375" style="33" customWidth="1"/>
    <col min="11018" max="11265" width="11.85546875" style="33"/>
    <col min="11266" max="11266" width="35.85546875" style="33" customWidth="1"/>
    <col min="11267" max="11273" width="10.7109375" style="33" customWidth="1"/>
    <col min="11274" max="11521" width="11.85546875" style="33"/>
    <col min="11522" max="11522" width="35.85546875" style="33" customWidth="1"/>
    <col min="11523" max="11529" width="10.7109375" style="33" customWidth="1"/>
    <col min="11530" max="11777" width="11.85546875" style="33"/>
    <col min="11778" max="11778" width="35.85546875" style="33" customWidth="1"/>
    <col min="11779" max="11785" width="10.7109375" style="33" customWidth="1"/>
    <col min="11786" max="12033" width="11.85546875" style="33"/>
    <col min="12034" max="12034" width="35.85546875" style="33" customWidth="1"/>
    <col min="12035" max="12041" width="10.7109375" style="33" customWidth="1"/>
    <col min="12042" max="12289" width="11.85546875" style="33"/>
    <col min="12290" max="12290" width="35.85546875" style="33" customWidth="1"/>
    <col min="12291" max="12297" width="10.7109375" style="33" customWidth="1"/>
    <col min="12298" max="12545" width="11.85546875" style="33"/>
    <col min="12546" max="12546" width="35.85546875" style="33" customWidth="1"/>
    <col min="12547" max="12553" width="10.7109375" style="33" customWidth="1"/>
    <col min="12554" max="12801" width="11.85546875" style="33"/>
    <col min="12802" max="12802" width="35.85546875" style="33" customWidth="1"/>
    <col min="12803" max="12809" width="10.7109375" style="33" customWidth="1"/>
    <col min="12810" max="13057" width="11.85546875" style="33"/>
    <col min="13058" max="13058" width="35.85546875" style="33" customWidth="1"/>
    <col min="13059" max="13065" width="10.7109375" style="33" customWidth="1"/>
    <col min="13066" max="13313" width="11.85546875" style="33"/>
    <col min="13314" max="13314" width="35.85546875" style="33" customWidth="1"/>
    <col min="13315" max="13321" width="10.7109375" style="33" customWidth="1"/>
    <col min="13322" max="13569" width="11.85546875" style="33"/>
    <col min="13570" max="13570" width="35.85546875" style="33" customWidth="1"/>
    <col min="13571" max="13577" width="10.7109375" style="33" customWidth="1"/>
    <col min="13578" max="13825" width="11.85546875" style="33"/>
    <col min="13826" max="13826" width="35.85546875" style="33" customWidth="1"/>
    <col min="13827" max="13833" width="10.7109375" style="33" customWidth="1"/>
    <col min="13834" max="14081" width="11.85546875" style="33"/>
    <col min="14082" max="14082" width="35.85546875" style="33" customWidth="1"/>
    <col min="14083" max="14089" width="10.7109375" style="33" customWidth="1"/>
    <col min="14090" max="14337" width="11.85546875" style="33"/>
    <col min="14338" max="14338" width="35.85546875" style="33" customWidth="1"/>
    <col min="14339" max="14345" width="10.7109375" style="33" customWidth="1"/>
    <col min="14346" max="14593" width="11.85546875" style="33"/>
    <col min="14594" max="14594" width="35.85546875" style="33" customWidth="1"/>
    <col min="14595" max="14601" width="10.7109375" style="33" customWidth="1"/>
    <col min="14602" max="14849" width="11.85546875" style="33"/>
    <col min="14850" max="14850" width="35.85546875" style="33" customWidth="1"/>
    <col min="14851" max="14857" width="10.7109375" style="33" customWidth="1"/>
    <col min="14858" max="15105" width="11.85546875" style="33"/>
    <col min="15106" max="15106" width="35.85546875" style="33" customWidth="1"/>
    <col min="15107" max="15113" width="10.7109375" style="33" customWidth="1"/>
    <col min="15114" max="15361" width="11.85546875" style="33"/>
    <col min="15362" max="15362" width="35.85546875" style="33" customWidth="1"/>
    <col min="15363" max="15369" width="10.7109375" style="33" customWidth="1"/>
    <col min="15370" max="15617" width="11.85546875" style="33"/>
    <col min="15618" max="15618" width="35.85546875" style="33" customWidth="1"/>
    <col min="15619" max="15625" width="10.7109375" style="33" customWidth="1"/>
    <col min="15626" max="15873" width="11.85546875" style="33"/>
    <col min="15874" max="15874" width="35.85546875" style="33" customWidth="1"/>
    <col min="15875" max="15881" width="10.7109375" style="33" customWidth="1"/>
    <col min="15882" max="16129" width="11.85546875" style="33"/>
    <col min="16130" max="16130" width="35.85546875" style="33" customWidth="1"/>
    <col min="16131" max="16137" width="10.7109375" style="33" customWidth="1"/>
    <col min="16138" max="16384" width="11.85546875" style="33"/>
  </cols>
  <sheetData>
    <row r="1" spans="1:23" ht="12.75" customHeight="1">
      <c r="A1" s="3522" t="s">
        <v>249</v>
      </c>
      <c r="B1" s="3522"/>
      <c r="C1" s="3522"/>
      <c r="D1" s="3522"/>
      <c r="E1" s="3522"/>
      <c r="F1" s="3522"/>
      <c r="G1" s="3522"/>
      <c r="H1" s="3522"/>
      <c r="I1" s="3522"/>
      <c r="J1" s="3522"/>
      <c r="K1" s="3522"/>
      <c r="L1" s="3522"/>
      <c r="M1" s="3522"/>
      <c r="N1" s="3522"/>
      <c r="O1" s="3522"/>
      <c r="P1" s="3522"/>
      <c r="Q1" s="3522"/>
      <c r="R1" s="3522"/>
      <c r="S1" s="3522"/>
      <c r="T1" s="3522"/>
      <c r="U1" s="3522"/>
      <c r="V1" s="3522"/>
      <c r="W1" s="3522"/>
    </row>
    <row r="2" spans="1:23" ht="36.75" customHeight="1">
      <c r="A2" s="3520" t="s">
        <v>877</v>
      </c>
      <c r="B2" s="3520"/>
      <c r="C2" s="3520"/>
      <c r="D2" s="3520"/>
      <c r="E2" s="3520"/>
      <c r="F2" s="3520"/>
      <c r="G2" s="3520"/>
      <c r="H2" s="3520"/>
      <c r="I2" s="3520"/>
      <c r="J2" s="3520"/>
      <c r="K2" s="3520"/>
      <c r="L2" s="3520"/>
      <c r="M2" s="3520"/>
      <c r="N2" s="3520"/>
      <c r="O2" s="3520"/>
      <c r="P2" s="3520"/>
      <c r="Q2" s="3520"/>
      <c r="R2" s="3520"/>
      <c r="S2" s="3520"/>
      <c r="T2" s="3520"/>
      <c r="U2" s="3520"/>
      <c r="V2" s="3520"/>
      <c r="W2" s="3520"/>
    </row>
    <row r="3" spans="1:23" s="231" customFormat="1" ht="18" customHeight="1">
      <c r="A3" s="3521" t="str">
        <f>'1. Анкетна карта'!A3</f>
        <v>на "Водоснабдяване и канализация" ЕООД , гр. Благоевград</v>
      </c>
      <c r="B3" s="3521"/>
      <c r="C3" s="3521"/>
      <c r="D3" s="3521"/>
      <c r="E3" s="3521"/>
      <c r="F3" s="3521"/>
      <c r="G3" s="3521"/>
      <c r="H3" s="3521"/>
      <c r="I3" s="3521"/>
      <c r="J3" s="3521"/>
      <c r="K3" s="3521"/>
      <c r="L3" s="3521"/>
      <c r="M3" s="3521"/>
      <c r="N3" s="3521"/>
      <c r="O3" s="3521"/>
      <c r="P3" s="3521"/>
      <c r="Q3" s="3521"/>
      <c r="R3" s="3521"/>
      <c r="S3" s="3521"/>
      <c r="T3" s="3521"/>
      <c r="U3" s="3521"/>
      <c r="V3" s="3521"/>
      <c r="W3" s="3521"/>
    </row>
    <row r="4" spans="1:23" s="231" customFormat="1" ht="18" customHeight="1">
      <c r="A4" s="3521" t="str">
        <f>'1. Анкетна карта'!A4</f>
        <v>ЕИК по БУЛСТАТ: 811047831</v>
      </c>
      <c r="B4" s="3521"/>
      <c r="C4" s="3521"/>
      <c r="D4" s="3521"/>
      <c r="E4" s="3521"/>
      <c r="F4" s="3521"/>
      <c r="G4" s="3521"/>
      <c r="H4" s="3521"/>
      <c r="I4" s="3521"/>
      <c r="J4" s="3521"/>
      <c r="K4" s="3521"/>
      <c r="L4" s="3521"/>
      <c r="M4" s="3521"/>
      <c r="N4" s="3521"/>
      <c r="O4" s="3521"/>
      <c r="P4" s="3521"/>
      <c r="Q4" s="3521"/>
      <c r="R4" s="3521"/>
      <c r="S4" s="3521"/>
      <c r="T4" s="3521"/>
      <c r="U4" s="3521"/>
      <c r="V4" s="3521"/>
      <c r="W4" s="3521"/>
    </row>
    <row r="5" spans="1:23" ht="13.5" customHeight="1" thickBot="1">
      <c r="B5" s="34"/>
      <c r="C5" s="35"/>
      <c r="D5" s="36"/>
      <c r="E5" s="37"/>
      <c r="F5" s="37"/>
      <c r="G5" s="37"/>
      <c r="K5" s="123"/>
      <c r="L5" s="23"/>
      <c r="M5" s="23"/>
      <c r="W5" s="38" t="s">
        <v>250</v>
      </c>
    </row>
    <row r="6" spans="1:23" ht="13.5" customHeight="1">
      <c r="A6" s="3527" t="s">
        <v>1</v>
      </c>
      <c r="B6" s="3531" t="s">
        <v>251</v>
      </c>
      <c r="C6" s="3533" t="s">
        <v>273</v>
      </c>
      <c r="D6" s="3534"/>
      <c r="E6" s="3534"/>
      <c r="F6" s="3534"/>
      <c r="G6" s="3534"/>
      <c r="H6" s="3534"/>
      <c r="I6" s="3535"/>
      <c r="J6" s="3538" t="s">
        <v>230</v>
      </c>
      <c r="K6" s="3534"/>
      <c r="L6" s="3534"/>
      <c r="M6" s="3534"/>
      <c r="N6" s="3534"/>
      <c r="O6" s="3534"/>
      <c r="P6" s="3539"/>
      <c r="Q6" s="3533" t="s">
        <v>241</v>
      </c>
      <c r="R6" s="3534"/>
      <c r="S6" s="3534"/>
      <c r="T6" s="3534"/>
      <c r="U6" s="3534"/>
      <c r="V6" s="3534"/>
      <c r="W6" s="3535"/>
    </row>
    <row r="7" spans="1:23" s="39" customFormat="1" ht="21.75" customHeight="1" thickBot="1">
      <c r="A7" s="3528"/>
      <c r="B7" s="3532"/>
      <c r="C7" s="1297" t="str">
        <f>'Приложение '!G12</f>
        <v>2015 г.</v>
      </c>
      <c r="D7" s="1252" t="str">
        <f>'Приложение '!G13</f>
        <v>2016 г.</v>
      </c>
      <c r="E7" s="1252" t="str">
        <f>'Приложение '!G14</f>
        <v>2017 г.</v>
      </c>
      <c r="F7" s="1252" t="str">
        <f>'Приложение '!G15</f>
        <v>2018 г.</v>
      </c>
      <c r="G7" s="1252" t="str">
        <f>'Приложение '!G16</f>
        <v>2019 г.</v>
      </c>
      <c r="H7" s="1252" t="str">
        <f>'Приложение '!G17</f>
        <v>2020 г.</v>
      </c>
      <c r="I7" s="1253" t="str">
        <f>'Приложение '!G18</f>
        <v>2021 г.</v>
      </c>
      <c r="J7" s="1293" t="str">
        <f>C7</f>
        <v>2015 г.</v>
      </c>
      <c r="K7" s="1252" t="str">
        <f t="shared" ref="K7:W7" si="0">D7</f>
        <v>2016 г.</v>
      </c>
      <c r="L7" s="1252" t="str">
        <f t="shared" si="0"/>
        <v>2017 г.</v>
      </c>
      <c r="M7" s="1252" t="str">
        <f t="shared" si="0"/>
        <v>2018 г.</v>
      </c>
      <c r="N7" s="1252" t="str">
        <f t="shared" si="0"/>
        <v>2019 г.</v>
      </c>
      <c r="O7" s="1252" t="str">
        <f t="shared" si="0"/>
        <v>2020 г.</v>
      </c>
      <c r="P7" s="1289" t="str">
        <f t="shared" si="0"/>
        <v>2021 г.</v>
      </c>
      <c r="Q7" s="1297" t="str">
        <f t="shared" si="0"/>
        <v>2015 г.</v>
      </c>
      <c r="R7" s="1252" t="str">
        <f t="shared" si="0"/>
        <v>2016 г.</v>
      </c>
      <c r="S7" s="1252" t="str">
        <f t="shared" si="0"/>
        <v>2017 г.</v>
      </c>
      <c r="T7" s="1252" t="str">
        <f t="shared" si="0"/>
        <v>2018 г.</v>
      </c>
      <c r="U7" s="1252" t="str">
        <f t="shared" si="0"/>
        <v>2019 г.</v>
      </c>
      <c r="V7" s="1252" t="str">
        <f t="shared" si="0"/>
        <v>2020 г.</v>
      </c>
      <c r="W7" s="1253" t="str">
        <f t="shared" si="0"/>
        <v>2021 г.</v>
      </c>
    </row>
    <row r="8" spans="1:23" s="39" customFormat="1" ht="15" customHeight="1">
      <c r="A8" s="1245">
        <v>1</v>
      </c>
      <c r="B8" s="1286" t="s">
        <v>481</v>
      </c>
      <c r="C8" s="1298">
        <f>'9.Инвестиционна програма'!E87</f>
        <v>2144.1755624172915</v>
      </c>
      <c r="D8" s="1246">
        <f>'9.Инвестиционна програма'!F87</f>
        <v>2066</v>
      </c>
      <c r="E8" s="1246">
        <f>'9.Инвестиционна програма'!G87</f>
        <v>1513.7994214079074</v>
      </c>
      <c r="F8" s="1246">
        <f>'9.Инвестиционна програма'!H87</f>
        <v>2299.2937027707808</v>
      </c>
      <c r="G8" s="1246">
        <f>'9.Инвестиционна програма'!I87</f>
        <v>2227.2711670480548</v>
      </c>
      <c r="H8" s="1246">
        <f>'9.Инвестиционна програма'!J87</f>
        <v>2741.4077965164502</v>
      </c>
      <c r="I8" s="1247">
        <f>'9.Инвестиционна програма'!K87</f>
        <v>2334.3928691557348</v>
      </c>
      <c r="J8" s="1294">
        <f>'9.Инвестиционна програма'!E88</f>
        <v>66.462284958094401</v>
      </c>
      <c r="K8" s="1246">
        <f>'9.Инвестиционна програма'!F88</f>
        <v>193</v>
      </c>
      <c r="L8" s="1246">
        <f>'9.Инвестиционна програма'!G88</f>
        <v>774.9749276759884</v>
      </c>
      <c r="M8" s="1246">
        <f>'9.Инвестиционна програма'!H88</f>
        <v>222.46599496221663</v>
      </c>
      <c r="N8" s="1246">
        <f>'9.Инвестиционна програма'!I88</f>
        <v>722.42181540808542</v>
      </c>
      <c r="O8" s="1246">
        <f>'9.Инвестиционна програма'!J88</f>
        <v>1340.1669892175837</v>
      </c>
      <c r="P8" s="1290">
        <f>'9.Инвестиционна програма'!K88</f>
        <v>1093.3232425159772</v>
      </c>
      <c r="Q8" s="1298">
        <f>'9.Инвестиционна програма'!E89</f>
        <v>107.36215262461403</v>
      </c>
      <c r="R8" s="1246">
        <f>'9.Инвестиционна програма'!F89</f>
        <v>174</v>
      </c>
      <c r="S8" s="1246">
        <f>'9.Инвестиционна програма'!G89</f>
        <v>54.225650916104144</v>
      </c>
      <c r="T8" s="1246">
        <f>'9.Инвестиционна програма'!H89</f>
        <v>327.24030226700251</v>
      </c>
      <c r="U8" s="1246">
        <f>'9.Инвестиционна програма'!I89</f>
        <v>135.30701754385964</v>
      </c>
      <c r="V8" s="1246">
        <f>'9.Инвестиционна програма'!J89</f>
        <v>86.425214265966275</v>
      </c>
      <c r="W8" s="1247">
        <f>'9.Инвестиционна програма'!K89</f>
        <v>86.283888328287929</v>
      </c>
    </row>
    <row r="9" spans="1:23" s="1242" customFormat="1" ht="12">
      <c r="A9" s="1262" t="s">
        <v>642</v>
      </c>
      <c r="B9" s="1287" t="s">
        <v>1248</v>
      </c>
      <c r="C9" s="1299">
        <f>'9.Инвестиционна програма'!E92</f>
        <v>1044.1755624172915</v>
      </c>
      <c r="D9" s="1240">
        <f>'9.Инвестиционна програма'!F92</f>
        <v>63</v>
      </c>
      <c r="E9" s="1240">
        <f>'9.Инвестиционна програма'!G92</f>
        <v>164.10800385728061</v>
      </c>
      <c r="F9" s="1240">
        <f>'9.Инвестиционна програма'!H92</f>
        <v>383.35012594458436</v>
      </c>
      <c r="G9" s="1240">
        <f>'9.Инвестиционна програма'!I92</f>
        <v>224.41647597254004</v>
      </c>
      <c r="H9" s="1240">
        <f>'9.Инвестиционна програма'!J92</f>
        <v>404.35001382361071</v>
      </c>
      <c r="I9" s="1300">
        <f>'9.Инвестиционна програма'!K92</f>
        <v>203.00369996636394</v>
      </c>
      <c r="J9" s="1295">
        <f>'9.Инвестиционна програма'!E93</f>
        <v>66.462284958094401</v>
      </c>
      <c r="K9" s="1240">
        <f>'9.Инвестиционна програма'!F93</f>
        <v>68</v>
      </c>
      <c r="L9" s="1240">
        <f>'9.Инвестиционна програма'!G93</f>
        <v>770.01350048216011</v>
      </c>
      <c r="M9" s="1240">
        <f>'9.Инвестиционна програма'!H93</f>
        <v>37.090680100755669</v>
      </c>
      <c r="N9" s="1240">
        <f>'9.Инвестиционна програма'!I93</f>
        <v>59.758962623951177</v>
      </c>
      <c r="O9" s="1240">
        <f>'9.Инвестиционна програма'!J93</f>
        <v>388.36909040641416</v>
      </c>
      <c r="P9" s="1291">
        <f>'9.Инвестиционна програма'!K93</f>
        <v>158.55869492095525</v>
      </c>
      <c r="Q9" s="1303">
        <f>'9.Инвестиционна програма'!E94</f>
        <v>107.36215262461403</v>
      </c>
      <c r="R9" s="1241">
        <f>'9.Инвестиционна програма'!F94</f>
        <v>24</v>
      </c>
      <c r="S9" s="1241">
        <f>'9.Инвестиционна програма'!G94</f>
        <v>19.878495660559306</v>
      </c>
      <c r="T9" s="1241">
        <f>'9.Инвестиционна програма'!H94</f>
        <v>164.55919395465995</v>
      </c>
      <c r="U9" s="1241">
        <f>'9.Инвестиционна програма'!I94</f>
        <v>39.824561403508774</v>
      </c>
      <c r="V9" s="1241">
        <f>'9.Инвестиционна програма'!J94</f>
        <v>37.280895769975118</v>
      </c>
      <c r="W9" s="1248">
        <f>'9.Инвестиционна програма'!K94</f>
        <v>38.437605112680792</v>
      </c>
    </row>
    <row r="10" spans="1:23" s="1242" customFormat="1" thickBot="1">
      <c r="A10" s="1263" t="s">
        <v>644</v>
      </c>
      <c r="B10" s="1288" t="s">
        <v>1247</v>
      </c>
      <c r="C10" s="1301">
        <f>'9.Инвестиционна програма'!E96</f>
        <v>1100</v>
      </c>
      <c r="D10" s="1249">
        <f>'9.Инвестиционна програма'!F96</f>
        <v>2003</v>
      </c>
      <c r="E10" s="1249">
        <f>'9.Инвестиционна програма'!G96</f>
        <v>1349.6914175506267</v>
      </c>
      <c r="F10" s="1249">
        <f>'9.Инвестиционна програма'!H96</f>
        <v>1915.9435768261965</v>
      </c>
      <c r="G10" s="1249">
        <f>'9.Инвестиционна програма'!I96</f>
        <v>2002.8546910755149</v>
      </c>
      <c r="H10" s="1249">
        <f>'9.Инвестиционна програма'!J96</f>
        <v>2337.0577826928393</v>
      </c>
      <c r="I10" s="1302">
        <f>'9.Инвестиционна програма'!K96</f>
        <v>2131.3891691893709</v>
      </c>
      <c r="J10" s="1296">
        <f>'9.Инвестиционна програма'!E97</f>
        <v>0</v>
      </c>
      <c r="K10" s="1250">
        <f>'9.Инвестиционна програма'!F97</f>
        <v>125</v>
      </c>
      <c r="L10" s="1250">
        <f>'9.Инвестиционна програма'!G97</f>
        <v>4.9614271938282855</v>
      </c>
      <c r="M10" s="1250">
        <f>'9.Инвестиционна програма'!H97</f>
        <v>185.37531486146096</v>
      </c>
      <c r="N10" s="1250">
        <f>'9.Инвестиционна програма'!I97</f>
        <v>662.6628527841342</v>
      </c>
      <c r="O10" s="1250">
        <f>'9.Инвестиционна програма'!J97</f>
        <v>951.79789881116949</v>
      </c>
      <c r="P10" s="1292">
        <f>'9.Инвестиционна програма'!K97</f>
        <v>934.7645475950219</v>
      </c>
      <c r="Q10" s="1304">
        <f>'9.Инвестиционна програма'!E98</f>
        <v>0</v>
      </c>
      <c r="R10" s="1250">
        <f>'9.Инвестиционна програма'!F98</f>
        <v>150</v>
      </c>
      <c r="S10" s="1250">
        <f>'9.Инвестиционна програма'!G98</f>
        <v>34.347155255544834</v>
      </c>
      <c r="T10" s="1250">
        <f>'9.Инвестиционна програма'!H98</f>
        <v>162.68110831234256</v>
      </c>
      <c r="U10" s="1250">
        <f>'9.Инвестиционна програма'!I98</f>
        <v>95.482456140350877</v>
      </c>
      <c r="V10" s="1250">
        <f>'9.Инвестиционна програма'!J98</f>
        <v>49.144318495991158</v>
      </c>
      <c r="W10" s="1251">
        <f>'9.Инвестиционна програма'!K98</f>
        <v>47.846283215607137</v>
      </c>
    </row>
    <row r="11" spans="1:23" s="125" customFormat="1" ht="13.5" thickBot="1">
      <c r="A11" s="1239"/>
      <c r="B11" s="1189"/>
      <c r="C11" s="1189"/>
      <c r="D11" s="1190"/>
      <c r="E11" s="1190"/>
      <c r="F11" s="1190"/>
      <c r="G11" s="1190"/>
      <c r="H11" s="1190"/>
      <c r="I11" s="1190"/>
      <c r="K11" s="1187"/>
      <c r="L11" s="49"/>
      <c r="M11" s="49"/>
    </row>
    <row r="12" spans="1:23" s="1239" customFormat="1">
      <c r="A12" s="1254">
        <v>2</v>
      </c>
      <c r="B12" s="1286" t="s">
        <v>480</v>
      </c>
      <c r="C12" s="1314">
        <f t="shared" ref="C12:W12" si="1">C13+C16</f>
        <v>2144.1755624172915</v>
      </c>
      <c r="D12" s="1255">
        <f t="shared" si="1"/>
        <v>2066</v>
      </c>
      <c r="E12" s="1255">
        <f t="shared" si="1"/>
        <v>1513.7994214079074</v>
      </c>
      <c r="F12" s="1255">
        <f t="shared" si="1"/>
        <v>2299.2937027707808</v>
      </c>
      <c r="G12" s="1255">
        <f t="shared" si="1"/>
        <v>2227.2711670480548</v>
      </c>
      <c r="H12" s="1255">
        <f t="shared" si="1"/>
        <v>2741.4077965164502</v>
      </c>
      <c r="I12" s="1256">
        <f t="shared" si="1"/>
        <v>2334.3928691557348</v>
      </c>
      <c r="J12" s="1310">
        <f t="shared" si="1"/>
        <v>66.462284958094401</v>
      </c>
      <c r="K12" s="1255">
        <f t="shared" si="1"/>
        <v>193</v>
      </c>
      <c r="L12" s="1255">
        <f t="shared" si="1"/>
        <v>774.9749276759884</v>
      </c>
      <c r="M12" s="1255">
        <f t="shared" si="1"/>
        <v>222.46599496221663</v>
      </c>
      <c r="N12" s="1255">
        <f t="shared" si="1"/>
        <v>722.42181540808542</v>
      </c>
      <c r="O12" s="1255">
        <f t="shared" si="1"/>
        <v>1340.1669892175837</v>
      </c>
      <c r="P12" s="1306">
        <f t="shared" si="1"/>
        <v>1093.3232425159772</v>
      </c>
      <c r="Q12" s="1314">
        <f t="shared" si="1"/>
        <v>107.36215262461403</v>
      </c>
      <c r="R12" s="1255">
        <f t="shared" si="1"/>
        <v>174</v>
      </c>
      <c r="S12" s="1255">
        <f t="shared" si="1"/>
        <v>54.225650916104144</v>
      </c>
      <c r="T12" s="1255">
        <f t="shared" si="1"/>
        <v>327.24030226700251</v>
      </c>
      <c r="U12" s="1255">
        <f t="shared" si="1"/>
        <v>135.30701754385964</v>
      </c>
      <c r="V12" s="1255">
        <f t="shared" si="1"/>
        <v>86.425214265966275</v>
      </c>
      <c r="W12" s="1256">
        <f t="shared" si="1"/>
        <v>86.283888328287929</v>
      </c>
    </row>
    <row r="13" spans="1:23" s="1235" customFormat="1">
      <c r="A13" s="1257" t="s">
        <v>661</v>
      </c>
      <c r="B13" s="1305" t="s">
        <v>1263</v>
      </c>
      <c r="C13" s="1315">
        <f>C14+C15</f>
        <v>1044.1755624172915</v>
      </c>
      <c r="D13" s="1237">
        <f t="shared" ref="D13:W13" si="2">D14+D15</f>
        <v>63</v>
      </c>
      <c r="E13" s="1237">
        <f t="shared" si="2"/>
        <v>164.10800385728061</v>
      </c>
      <c r="F13" s="1237">
        <f t="shared" si="2"/>
        <v>383.35012594458436</v>
      </c>
      <c r="G13" s="1237">
        <f t="shared" si="2"/>
        <v>224.41647597254004</v>
      </c>
      <c r="H13" s="1237">
        <f t="shared" si="2"/>
        <v>404.35001382361071</v>
      </c>
      <c r="I13" s="1258">
        <f t="shared" si="2"/>
        <v>203.00369996636394</v>
      </c>
      <c r="J13" s="1311">
        <f t="shared" si="2"/>
        <v>66.462284958094401</v>
      </c>
      <c r="K13" s="1237">
        <f t="shared" si="2"/>
        <v>68</v>
      </c>
      <c r="L13" s="1237">
        <f t="shared" si="2"/>
        <v>770.01350048216011</v>
      </c>
      <c r="M13" s="1237">
        <f t="shared" si="2"/>
        <v>37.090680100755669</v>
      </c>
      <c r="N13" s="1237">
        <f t="shared" si="2"/>
        <v>59.758962623951177</v>
      </c>
      <c r="O13" s="1237">
        <f t="shared" si="2"/>
        <v>388.36909040641416</v>
      </c>
      <c r="P13" s="1307">
        <f t="shared" si="2"/>
        <v>158.55869492095525</v>
      </c>
      <c r="Q13" s="1315">
        <f t="shared" si="2"/>
        <v>107.36215262461403</v>
      </c>
      <c r="R13" s="1237">
        <f t="shared" si="2"/>
        <v>24</v>
      </c>
      <c r="S13" s="1237">
        <f t="shared" si="2"/>
        <v>19.878495660559306</v>
      </c>
      <c r="T13" s="1237">
        <f t="shared" si="2"/>
        <v>164.55919395465995</v>
      </c>
      <c r="U13" s="1237">
        <f t="shared" si="2"/>
        <v>39.824561403508774</v>
      </c>
      <c r="V13" s="1237">
        <f t="shared" si="2"/>
        <v>37.280895769975118</v>
      </c>
      <c r="W13" s="1258">
        <f t="shared" si="2"/>
        <v>38.437605112680792</v>
      </c>
    </row>
    <row r="14" spans="1:23" s="38" customFormat="1">
      <c r="A14" s="1264" t="s">
        <v>1268</v>
      </c>
      <c r="B14" s="1287" t="s">
        <v>1264</v>
      </c>
      <c r="C14" s="1316">
        <f>'9.Инвестиционна програма'!M92</f>
        <v>1044.1755624172915</v>
      </c>
      <c r="D14" s="1238">
        <f>'9.Инвестиционна програма'!N92</f>
        <v>63</v>
      </c>
      <c r="E14" s="1238">
        <f>'9.Инвестиционна програма'!O92</f>
        <v>164.10800385728061</v>
      </c>
      <c r="F14" s="1238">
        <f>'9.Инвестиционна програма'!P92</f>
        <v>383.35012594458436</v>
      </c>
      <c r="G14" s="1238">
        <f>'9.Инвестиционна програма'!Q92</f>
        <v>224.41647597254004</v>
      </c>
      <c r="H14" s="1238">
        <f>'9.Инвестиционна програма'!R92</f>
        <v>404.35001382361071</v>
      </c>
      <c r="I14" s="1259">
        <f>'9.Инвестиционна програма'!S92</f>
        <v>203.00369996636394</v>
      </c>
      <c r="J14" s="1312">
        <f>'9.Инвестиционна програма'!M93</f>
        <v>66.462284958094401</v>
      </c>
      <c r="K14" s="1238">
        <f>'9.Инвестиционна програма'!N93</f>
        <v>68</v>
      </c>
      <c r="L14" s="1238">
        <f>'9.Инвестиционна програма'!O93</f>
        <v>770.01350048216011</v>
      </c>
      <c r="M14" s="1238">
        <f>'9.Инвестиционна програма'!P93</f>
        <v>37.090680100755669</v>
      </c>
      <c r="N14" s="1238">
        <f>'9.Инвестиционна програма'!Q93</f>
        <v>59.758962623951177</v>
      </c>
      <c r="O14" s="1238">
        <f>'9.Инвестиционна програма'!R93</f>
        <v>388.36909040641416</v>
      </c>
      <c r="P14" s="1308">
        <f>'9.Инвестиционна програма'!S93</f>
        <v>158.55869492095525</v>
      </c>
      <c r="Q14" s="1316">
        <f>'9.Инвестиционна програма'!M94</f>
        <v>107.36215262461403</v>
      </c>
      <c r="R14" s="1238">
        <f>'9.Инвестиционна програма'!N94</f>
        <v>24</v>
      </c>
      <c r="S14" s="1238">
        <f>'9.Инвестиционна програма'!O94</f>
        <v>19.878495660559306</v>
      </c>
      <c r="T14" s="1238">
        <f>'9.Инвестиционна програма'!P94</f>
        <v>164.55919395465995</v>
      </c>
      <c r="U14" s="1238">
        <f>'9.Инвестиционна програма'!Q94</f>
        <v>39.824561403508774</v>
      </c>
      <c r="V14" s="1238">
        <f>'9.Инвестиционна програма'!R94</f>
        <v>37.280895769975118</v>
      </c>
      <c r="W14" s="1259">
        <f>'9.Инвестиционна програма'!S94</f>
        <v>38.437605112680792</v>
      </c>
    </row>
    <row r="15" spans="1:23" s="38" customFormat="1">
      <c r="A15" s="1264" t="s">
        <v>1269</v>
      </c>
      <c r="B15" s="1287" t="s">
        <v>1265</v>
      </c>
      <c r="C15" s="1316">
        <f>'9.Инвестиционна програма'!T92</f>
        <v>0</v>
      </c>
      <c r="D15" s="1238">
        <f>'9.Инвестиционна програма'!U92</f>
        <v>0</v>
      </c>
      <c r="E15" s="1238">
        <f>'9.Инвестиционна програма'!V92</f>
        <v>0</v>
      </c>
      <c r="F15" s="1238">
        <f>'9.Инвестиционна програма'!W92</f>
        <v>0</v>
      </c>
      <c r="G15" s="1238">
        <f>'9.Инвестиционна програма'!X92</f>
        <v>0</v>
      </c>
      <c r="H15" s="1238">
        <f>'9.Инвестиционна програма'!Y92</f>
        <v>0</v>
      </c>
      <c r="I15" s="1259">
        <f>'9.Инвестиционна програма'!Z92</f>
        <v>0</v>
      </c>
      <c r="J15" s="1312">
        <f>'9.Инвестиционна програма'!T93</f>
        <v>0</v>
      </c>
      <c r="K15" s="1238">
        <f>'9.Инвестиционна програма'!U93</f>
        <v>0</v>
      </c>
      <c r="L15" s="1238">
        <f>'9.Инвестиционна програма'!V93</f>
        <v>0</v>
      </c>
      <c r="M15" s="1238">
        <f>'9.Инвестиционна програма'!W93</f>
        <v>0</v>
      </c>
      <c r="N15" s="1238">
        <f>'9.Инвестиционна програма'!X93</f>
        <v>0</v>
      </c>
      <c r="O15" s="1238">
        <f>'9.Инвестиционна програма'!Y93</f>
        <v>0</v>
      </c>
      <c r="P15" s="1308">
        <f>'9.Инвестиционна програма'!Z93</f>
        <v>0</v>
      </c>
      <c r="Q15" s="1316">
        <f>'9.Инвестиционна програма'!T94</f>
        <v>0</v>
      </c>
      <c r="R15" s="1238">
        <f>'9.Инвестиционна програма'!U94</f>
        <v>0</v>
      </c>
      <c r="S15" s="1238">
        <f>'9.Инвестиционна програма'!V94</f>
        <v>0</v>
      </c>
      <c r="T15" s="1238">
        <f>'9.Инвестиционна програма'!W94</f>
        <v>0</v>
      </c>
      <c r="U15" s="1238">
        <f>'9.Инвестиционна програма'!X94</f>
        <v>0</v>
      </c>
      <c r="V15" s="1238">
        <f>'9.Инвестиционна програма'!Y94</f>
        <v>0</v>
      </c>
      <c r="W15" s="1259">
        <f>'9.Инвестиционна програма'!Z94</f>
        <v>0</v>
      </c>
    </row>
    <row r="16" spans="1:23" s="1235" customFormat="1">
      <c r="A16" s="1257" t="s">
        <v>663</v>
      </c>
      <c r="B16" s="1305" t="s">
        <v>1266</v>
      </c>
      <c r="C16" s="1315">
        <f t="shared" ref="C16:W16" si="3">C17+C18</f>
        <v>1100</v>
      </c>
      <c r="D16" s="1237">
        <f t="shared" si="3"/>
        <v>2003</v>
      </c>
      <c r="E16" s="1237">
        <f t="shared" si="3"/>
        <v>1349.6914175506267</v>
      </c>
      <c r="F16" s="1237">
        <f t="shared" si="3"/>
        <v>1915.9435768261965</v>
      </c>
      <c r="G16" s="1237">
        <f t="shared" si="3"/>
        <v>2002.8546910755149</v>
      </c>
      <c r="H16" s="1237">
        <f t="shared" si="3"/>
        <v>2337.0577826928393</v>
      </c>
      <c r="I16" s="1258">
        <f t="shared" si="3"/>
        <v>2131.3891691893709</v>
      </c>
      <c r="J16" s="1311">
        <f t="shared" si="3"/>
        <v>0</v>
      </c>
      <c r="K16" s="1237">
        <f t="shared" si="3"/>
        <v>125</v>
      </c>
      <c r="L16" s="1237">
        <f t="shared" si="3"/>
        <v>4.9614271938282855</v>
      </c>
      <c r="M16" s="1237">
        <f t="shared" si="3"/>
        <v>185.37531486146096</v>
      </c>
      <c r="N16" s="1237">
        <f t="shared" si="3"/>
        <v>662.6628527841342</v>
      </c>
      <c r="O16" s="1237">
        <f t="shared" si="3"/>
        <v>951.79789881116949</v>
      </c>
      <c r="P16" s="1307">
        <f t="shared" si="3"/>
        <v>934.7645475950219</v>
      </c>
      <c r="Q16" s="1315">
        <f t="shared" si="3"/>
        <v>0</v>
      </c>
      <c r="R16" s="1237">
        <f t="shared" si="3"/>
        <v>150</v>
      </c>
      <c r="S16" s="1237">
        <f t="shared" si="3"/>
        <v>34.347155255544834</v>
      </c>
      <c r="T16" s="1237">
        <f t="shared" si="3"/>
        <v>162.68110831234256</v>
      </c>
      <c r="U16" s="1237">
        <f t="shared" si="3"/>
        <v>95.482456140350877</v>
      </c>
      <c r="V16" s="1237">
        <f t="shared" si="3"/>
        <v>49.144318495991158</v>
      </c>
      <c r="W16" s="1258">
        <f t="shared" si="3"/>
        <v>47.846283215607137</v>
      </c>
    </row>
    <row r="17" spans="1:23" s="38" customFormat="1">
      <c r="A17" s="1264" t="s">
        <v>1270</v>
      </c>
      <c r="B17" s="1287" t="s">
        <v>1264</v>
      </c>
      <c r="C17" s="1316">
        <f>'9.Инвестиционна програма'!M96</f>
        <v>1100</v>
      </c>
      <c r="D17" s="1238">
        <f>'9.Инвестиционна програма'!N96</f>
        <v>2003</v>
      </c>
      <c r="E17" s="1238">
        <f>'9.Инвестиционна програма'!O96</f>
        <v>1349.6914175506267</v>
      </c>
      <c r="F17" s="1238">
        <f>'9.Инвестиционна програма'!P96</f>
        <v>1915.9435768261965</v>
      </c>
      <c r="G17" s="1238">
        <f>'9.Инвестиционна програма'!Q96</f>
        <v>2002.8546910755149</v>
      </c>
      <c r="H17" s="1238">
        <f>'9.Инвестиционна програма'!R96</f>
        <v>2337.0577826928393</v>
      </c>
      <c r="I17" s="1259">
        <f>'9.Инвестиционна програма'!S96</f>
        <v>2131.3891691893709</v>
      </c>
      <c r="J17" s="1312">
        <f>'9.Инвестиционна програма'!M97</f>
        <v>0</v>
      </c>
      <c r="K17" s="1238">
        <f>'9.Инвестиционна програма'!N97</f>
        <v>125</v>
      </c>
      <c r="L17" s="1238">
        <f>'9.Инвестиционна програма'!O97</f>
        <v>4.9614271938282855</v>
      </c>
      <c r="M17" s="1238">
        <f>'9.Инвестиционна програма'!P97</f>
        <v>185.37531486146096</v>
      </c>
      <c r="N17" s="1238">
        <f>'9.Инвестиционна програма'!Q97</f>
        <v>662.6628527841342</v>
      </c>
      <c r="O17" s="1238">
        <f>'9.Инвестиционна програма'!R97</f>
        <v>951.79789881116949</v>
      </c>
      <c r="P17" s="1308">
        <f>'9.Инвестиционна програма'!S97</f>
        <v>934.7645475950219</v>
      </c>
      <c r="Q17" s="1316">
        <f>'9.Инвестиционна програма'!M98</f>
        <v>0</v>
      </c>
      <c r="R17" s="1238">
        <f>'9.Инвестиционна програма'!N98</f>
        <v>150</v>
      </c>
      <c r="S17" s="1238">
        <f>'9.Инвестиционна програма'!O98</f>
        <v>34.347155255544834</v>
      </c>
      <c r="T17" s="1238">
        <f>'9.Инвестиционна програма'!P98</f>
        <v>162.68110831234256</v>
      </c>
      <c r="U17" s="1238">
        <f>'9.Инвестиционна програма'!Q98</f>
        <v>95.482456140350877</v>
      </c>
      <c r="V17" s="1238">
        <f>'9.Инвестиционна програма'!R98</f>
        <v>49.144318495991158</v>
      </c>
      <c r="W17" s="1259">
        <f>'9.Инвестиционна програма'!S98</f>
        <v>47.846283215607137</v>
      </c>
    </row>
    <row r="18" spans="1:23" s="38" customFormat="1" ht="13.5" thickBot="1">
      <c r="A18" s="1265" t="s">
        <v>1269</v>
      </c>
      <c r="B18" s="1288" t="s">
        <v>1265</v>
      </c>
      <c r="C18" s="1317">
        <f>'9.Инвестиционна програма'!T96</f>
        <v>0</v>
      </c>
      <c r="D18" s="1260">
        <f>'9.Инвестиционна програма'!U96</f>
        <v>0</v>
      </c>
      <c r="E18" s="1260">
        <f>'9.Инвестиционна програма'!V96</f>
        <v>0</v>
      </c>
      <c r="F18" s="1260">
        <f>'9.Инвестиционна програма'!W96</f>
        <v>0</v>
      </c>
      <c r="G18" s="1260">
        <f>'9.Инвестиционна програма'!X96</f>
        <v>0</v>
      </c>
      <c r="H18" s="1260">
        <f>'9.Инвестиционна програма'!Y96</f>
        <v>0</v>
      </c>
      <c r="I18" s="1261">
        <f>'9.Инвестиционна програма'!Z96</f>
        <v>0</v>
      </c>
      <c r="J18" s="1313">
        <f>'9.Инвестиционна програма'!T97</f>
        <v>0</v>
      </c>
      <c r="K18" s="1260">
        <f>'9.Инвестиционна програма'!U97</f>
        <v>0</v>
      </c>
      <c r="L18" s="1260">
        <f>'9.Инвестиционна програма'!V97</f>
        <v>0</v>
      </c>
      <c r="M18" s="1260">
        <f>'9.Инвестиционна програма'!W97</f>
        <v>0</v>
      </c>
      <c r="N18" s="1260">
        <f>'9.Инвестиционна програма'!X97</f>
        <v>0</v>
      </c>
      <c r="O18" s="1260">
        <f>'9.Инвестиционна програма'!Y97</f>
        <v>0</v>
      </c>
      <c r="P18" s="1309">
        <f>'9.Инвестиционна програма'!Z97</f>
        <v>0</v>
      </c>
      <c r="Q18" s="1317">
        <f>'9.Инвестиционна програма'!T98</f>
        <v>0</v>
      </c>
      <c r="R18" s="1260">
        <f>'9.Инвестиционна програма'!U98</f>
        <v>0</v>
      </c>
      <c r="S18" s="1260">
        <f>'9.Инвестиционна програма'!V98</f>
        <v>0</v>
      </c>
      <c r="T18" s="1260">
        <f>'9.Инвестиционна програма'!W98</f>
        <v>0</v>
      </c>
      <c r="U18" s="1260">
        <f>'9.Инвестиционна програма'!X98</f>
        <v>0</v>
      </c>
      <c r="V18" s="1260">
        <f>'9.Инвестиционна програма'!Y98</f>
        <v>0</v>
      </c>
      <c r="W18" s="1261">
        <f>'9.Инвестиционна програма'!Z98</f>
        <v>0</v>
      </c>
    </row>
    <row r="19" spans="1:23" s="2" customFormat="1" ht="13.5" thickBot="1">
      <c r="A19" s="1266"/>
      <c r="B19" s="1191"/>
      <c r="C19" s="1192"/>
      <c r="D19" s="1192"/>
      <c r="E19" s="1192"/>
      <c r="F19" s="1192"/>
      <c r="G19" s="1192"/>
      <c r="H19" s="1192"/>
      <c r="I19" s="1192"/>
      <c r="J19" s="49"/>
      <c r="K19" s="123"/>
      <c r="L19" s="23"/>
    </row>
    <row r="20" spans="1:23" s="2" customFormat="1" ht="24.75" thickBot="1">
      <c r="A20" s="1284" t="s">
        <v>327</v>
      </c>
      <c r="B20" s="2140" t="s">
        <v>1246</v>
      </c>
      <c r="C20" s="2141">
        <f>C12-C8</f>
        <v>0</v>
      </c>
      <c r="D20" s="2142">
        <f t="shared" ref="D20:W20" si="4">D12-D8</f>
        <v>0</v>
      </c>
      <c r="E20" s="2142">
        <f t="shared" si="4"/>
        <v>0</v>
      </c>
      <c r="F20" s="2142">
        <f t="shared" si="4"/>
        <v>0</v>
      </c>
      <c r="G20" s="2142">
        <f t="shared" si="4"/>
        <v>0</v>
      </c>
      <c r="H20" s="2142">
        <f t="shared" si="4"/>
        <v>0</v>
      </c>
      <c r="I20" s="2143">
        <f t="shared" si="4"/>
        <v>0</v>
      </c>
      <c r="J20" s="2144">
        <f t="shared" si="4"/>
        <v>0</v>
      </c>
      <c r="K20" s="2142">
        <f t="shared" si="4"/>
        <v>0</v>
      </c>
      <c r="L20" s="2142">
        <f t="shared" si="4"/>
        <v>0</v>
      </c>
      <c r="M20" s="2142">
        <f t="shared" si="4"/>
        <v>0</v>
      </c>
      <c r="N20" s="2142">
        <f t="shared" si="4"/>
        <v>0</v>
      </c>
      <c r="O20" s="2142">
        <f t="shared" si="4"/>
        <v>0</v>
      </c>
      <c r="P20" s="2145">
        <f t="shared" si="4"/>
        <v>0</v>
      </c>
      <c r="Q20" s="2141">
        <f t="shared" si="4"/>
        <v>0</v>
      </c>
      <c r="R20" s="2142">
        <f t="shared" si="4"/>
        <v>0</v>
      </c>
      <c r="S20" s="2142">
        <f t="shared" si="4"/>
        <v>0</v>
      </c>
      <c r="T20" s="2142">
        <f t="shared" si="4"/>
        <v>0</v>
      </c>
      <c r="U20" s="2142">
        <f t="shared" si="4"/>
        <v>0</v>
      </c>
      <c r="V20" s="2142">
        <f t="shared" si="4"/>
        <v>0</v>
      </c>
      <c r="W20" s="2143">
        <f t="shared" si="4"/>
        <v>0</v>
      </c>
    </row>
    <row r="21" spans="1:23" s="2" customFormat="1" ht="24.75" thickBot="1">
      <c r="A21" s="1285" t="s">
        <v>328</v>
      </c>
      <c r="B21" s="2146" t="s">
        <v>1306</v>
      </c>
      <c r="C21" s="2147">
        <f t="shared" ref="C21:I21" si="5">C15+C18-C67*C61-J67*J61</f>
        <v>0</v>
      </c>
      <c r="D21" s="2147">
        <f t="shared" si="5"/>
        <v>0</v>
      </c>
      <c r="E21" s="2148">
        <f t="shared" si="5"/>
        <v>0</v>
      </c>
      <c r="F21" s="2148">
        <f t="shared" si="5"/>
        <v>0</v>
      </c>
      <c r="G21" s="2148">
        <f t="shared" si="5"/>
        <v>0</v>
      </c>
      <c r="H21" s="2148">
        <f t="shared" si="5"/>
        <v>0</v>
      </c>
      <c r="I21" s="2149">
        <f t="shared" si="5"/>
        <v>0</v>
      </c>
      <c r="J21" s="2147">
        <f>J15+J18-C68*C61-J68*J61</f>
        <v>0</v>
      </c>
      <c r="K21" s="2148">
        <f t="shared" ref="K21:P21" si="6">K15+K18-D68*D61-K68*K61</f>
        <v>0</v>
      </c>
      <c r="L21" s="2148">
        <f t="shared" si="6"/>
        <v>0</v>
      </c>
      <c r="M21" s="2148">
        <f t="shared" si="6"/>
        <v>0</v>
      </c>
      <c r="N21" s="2148">
        <f t="shared" si="6"/>
        <v>0</v>
      </c>
      <c r="O21" s="2148">
        <f t="shared" si="6"/>
        <v>0</v>
      </c>
      <c r="P21" s="2150">
        <f t="shared" si="6"/>
        <v>0</v>
      </c>
      <c r="Q21" s="2151">
        <f>Q15+Q18-C69*C61-J69*J61</f>
        <v>0</v>
      </c>
      <c r="R21" s="2148">
        <f t="shared" ref="R21:W21" si="7">R15+R18-D69*D61-K69*K61</f>
        <v>0</v>
      </c>
      <c r="S21" s="2148">
        <f t="shared" si="7"/>
        <v>0</v>
      </c>
      <c r="T21" s="2148">
        <f t="shared" si="7"/>
        <v>0</v>
      </c>
      <c r="U21" s="2148">
        <f t="shared" si="7"/>
        <v>0</v>
      </c>
      <c r="V21" s="2148">
        <f t="shared" si="7"/>
        <v>0</v>
      </c>
      <c r="W21" s="2150">
        <f t="shared" si="7"/>
        <v>0</v>
      </c>
    </row>
    <row r="22" spans="1:23" s="2" customFormat="1" ht="13.5" thickBot="1">
      <c r="A22" s="1266"/>
      <c r="B22" s="1228"/>
      <c r="C22" s="1229"/>
      <c r="D22" s="1229"/>
      <c r="E22" s="1229"/>
      <c r="F22" s="1229"/>
      <c r="G22" s="1229"/>
      <c r="H22" s="1229"/>
      <c r="I22" s="1229"/>
      <c r="J22" s="1229"/>
      <c r="K22" s="1229"/>
      <c r="L22" s="1229"/>
      <c r="M22" s="1229"/>
      <c r="N22" s="1229"/>
      <c r="O22" s="1229"/>
      <c r="P22" s="1229"/>
      <c r="Q22" s="1229"/>
      <c r="R22" s="1229"/>
      <c r="S22" s="1229"/>
      <c r="T22" s="1229"/>
      <c r="U22" s="1229"/>
      <c r="V22" s="1229"/>
      <c r="W22" s="1229"/>
    </row>
    <row r="23" spans="1:23" s="2" customFormat="1" ht="34.5" customHeight="1" thickBot="1">
      <c r="A23" s="2952">
        <v>4</v>
      </c>
      <c r="B23" s="2953" t="s">
        <v>1267</v>
      </c>
      <c r="C23" s="2954">
        <f>C38*C43+J38*J43+Q38*Q43+C50*C55+J50*J55+C62*C67+J62*J67</f>
        <v>0</v>
      </c>
      <c r="D23" s="2955">
        <f t="shared" ref="D23:I23" si="8">D38*D43+K38*K43+R38*R43+D50*D55+K50*K55+D62*D67+K62*K67</f>
        <v>0</v>
      </c>
      <c r="E23" s="2955">
        <f t="shared" si="8"/>
        <v>0</v>
      </c>
      <c r="F23" s="2955">
        <f t="shared" si="8"/>
        <v>0</v>
      </c>
      <c r="G23" s="2955">
        <f t="shared" si="8"/>
        <v>0</v>
      </c>
      <c r="H23" s="2955">
        <f t="shared" si="8"/>
        <v>0</v>
      </c>
      <c r="I23" s="2956">
        <f t="shared" si="8"/>
        <v>0</v>
      </c>
      <c r="J23" s="2954">
        <f>C38*C44+J38*J44+Q38*Q44+C50*C56+J50*J56+C62*C68+J62*J68</f>
        <v>0</v>
      </c>
      <c r="K23" s="2955">
        <f t="shared" ref="K23:P23" si="9">D38*D44+K38*K44+R38*R44+D50*D56+K50*K56+D62*D68+K62*K68</f>
        <v>0</v>
      </c>
      <c r="L23" s="2955">
        <f t="shared" si="9"/>
        <v>0</v>
      </c>
      <c r="M23" s="2955">
        <f t="shared" si="9"/>
        <v>0</v>
      </c>
      <c r="N23" s="2955">
        <f t="shared" si="9"/>
        <v>0</v>
      </c>
      <c r="O23" s="2955">
        <f t="shared" si="9"/>
        <v>0</v>
      </c>
      <c r="P23" s="2956">
        <f t="shared" si="9"/>
        <v>0</v>
      </c>
      <c r="Q23" s="2954">
        <f>C38*C45+J38*J45+Q38*Q45+C50*C57+J50*J57+C62*C69+J62*J69</f>
        <v>0</v>
      </c>
      <c r="R23" s="2955">
        <f t="shared" ref="R23:W23" si="10">D38*D45+K38*K45+R38*R45+D50*D57+K50*K57+D62*D69+K62*K69</f>
        <v>0</v>
      </c>
      <c r="S23" s="2955">
        <f t="shared" si="10"/>
        <v>0</v>
      </c>
      <c r="T23" s="2955">
        <f t="shared" si="10"/>
        <v>0</v>
      </c>
      <c r="U23" s="2955">
        <f t="shared" si="10"/>
        <v>0</v>
      </c>
      <c r="V23" s="2955">
        <f t="shared" si="10"/>
        <v>0</v>
      </c>
      <c r="W23" s="2957">
        <f t="shared" si="10"/>
        <v>0</v>
      </c>
    </row>
    <row r="24" spans="1:23" s="57" customFormat="1" ht="13.5" thickBot="1">
      <c r="A24" s="1267"/>
      <c r="B24" s="1193"/>
      <c r="C24" s="1194"/>
      <c r="D24" s="1194"/>
      <c r="E24" s="1194"/>
      <c r="F24" s="1194"/>
      <c r="G24" s="1194"/>
      <c r="H24" s="1194"/>
      <c r="I24" s="1194"/>
      <c r="K24" s="1188"/>
      <c r="L24" s="64"/>
    </row>
    <row r="25" spans="1:23" s="57" customFormat="1">
      <c r="A25" s="1269" t="s">
        <v>770</v>
      </c>
      <c r="B25" s="1319" t="s">
        <v>1256</v>
      </c>
      <c r="C25" s="1324">
        <f>'11. Амортиз. план'!E34</f>
        <v>222</v>
      </c>
      <c r="D25" s="1195">
        <f>'11. Амортиз. план'!F34</f>
        <v>286.09000000000003</v>
      </c>
      <c r="E25" s="1195">
        <f>'11. Амортиз. план'!G34</f>
        <v>294.22913227080784</v>
      </c>
      <c r="F25" s="1195">
        <f>'11. Амортиз. план'!H34</f>
        <v>306.12444259220666</v>
      </c>
      <c r="G25" s="1195">
        <f>'11. Амортиз. план'!I34</f>
        <v>297.39518484612688</v>
      </c>
      <c r="H25" s="1195">
        <f>'11. Амортиз. план'!J34</f>
        <v>311.85601976276178</v>
      </c>
      <c r="I25" s="1270">
        <f>'11. Амортиз. план'!K34</f>
        <v>341.44410503924053</v>
      </c>
      <c r="J25" s="1230">
        <f>'11. Амортиз. план'!L34</f>
        <v>64</v>
      </c>
      <c r="K25" s="1195">
        <f>'11. Амортиз. план'!M34</f>
        <v>69.05</v>
      </c>
      <c r="L25" s="1195">
        <f>'11. Амортиз. план'!N34</f>
        <v>109.3970181174227</v>
      </c>
      <c r="M25" s="1195">
        <f>'11. Амортиз. план'!O34</f>
        <v>149.11041008543444</v>
      </c>
      <c r="N25" s="1195">
        <f>'11. Амортиз. план'!P34</f>
        <v>150.14196960681102</v>
      </c>
      <c r="O25" s="1195">
        <f>'11. Амортиз. план'!Q34</f>
        <v>157.89243329003139</v>
      </c>
      <c r="P25" s="1328">
        <f>'11. Амортиз. план'!R34</f>
        <v>162.35932025848865</v>
      </c>
      <c r="Q25" s="1324">
        <f>'11. Амортиз. план'!S34</f>
        <v>3.419999999999999</v>
      </c>
      <c r="R25" s="1195">
        <f>'11. Амортиз. план'!T34</f>
        <v>4.6199999999999992</v>
      </c>
      <c r="S25" s="1195">
        <f>'11. Амортиз. план'!U34</f>
        <v>7.1738496117695165</v>
      </c>
      <c r="T25" s="1195">
        <f>'11. Амортиз. план'!V34</f>
        <v>15.755147322358829</v>
      </c>
      <c r="U25" s="1195">
        <f>'11. Амортиз. план'!W34</f>
        <v>26.352845547062138</v>
      </c>
      <c r="V25" s="1195">
        <f>'11. Амортиз. план'!X34</f>
        <v>30.021546947207007</v>
      </c>
      <c r="W25" s="1270">
        <f>'11. Амортиз. план'!Y34</f>
        <v>33.596574702270637</v>
      </c>
    </row>
    <row r="26" spans="1:23" s="57" customFormat="1" ht="31.5" customHeight="1">
      <c r="A26" s="1271" t="s">
        <v>771</v>
      </c>
      <c r="B26" s="1041" t="s">
        <v>1255</v>
      </c>
      <c r="C26" s="1325">
        <f>C25-C14</f>
        <v>-822.17556241729153</v>
      </c>
      <c r="D26" s="1273">
        <f>D25-D14</f>
        <v>223.09000000000003</v>
      </c>
      <c r="E26" s="1273">
        <f t="shared" ref="E26:W26" si="11">E25-E14</f>
        <v>130.12112841352723</v>
      </c>
      <c r="F26" s="1273">
        <f t="shared" si="11"/>
        <v>-77.2256833523777</v>
      </c>
      <c r="G26" s="1273">
        <f t="shared" si="11"/>
        <v>72.978708873586839</v>
      </c>
      <c r="H26" s="1273">
        <f t="shared" si="11"/>
        <v>-92.493994060848934</v>
      </c>
      <c r="I26" s="1274">
        <f t="shared" si="11"/>
        <v>138.44040507287659</v>
      </c>
      <c r="J26" s="1321">
        <f t="shared" si="11"/>
        <v>-2.4622849580944006</v>
      </c>
      <c r="K26" s="1273">
        <f t="shared" si="11"/>
        <v>1.0499999999999972</v>
      </c>
      <c r="L26" s="1273">
        <f t="shared" si="11"/>
        <v>-660.61648236473741</v>
      </c>
      <c r="M26" s="1273">
        <f t="shared" si="11"/>
        <v>112.01972998467878</v>
      </c>
      <c r="N26" s="1273">
        <f t="shared" si="11"/>
        <v>90.38300698285984</v>
      </c>
      <c r="O26" s="1273">
        <f t="shared" si="11"/>
        <v>-230.47665711638277</v>
      </c>
      <c r="P26" s="1329">
        <f t="shared" si="11"/>
        <v>3.800625337533404</v>
      </c>
      <c r="Q26" s="1325">
        <f t="shared" si="11"/>
        <v>-103.94215262461402</v>
      </c>
      <c r="R26" s="1273">
        <f t="shared" si="11"/>
        <v>-19.380000000000003</v>
      </c>
      <c r="S26" s="1273">
        <f t="shared" si="11"/>
        <v>-12.70464604878979</v>
      </c>
      <c r="T26" s="1273">
        <f t="shared" si="11"/>
        <v>-148.80404663230112</v>
      </c>
      <c r="U26" s="1273">
        <f t="shared" si="11"/>
        <v>-13.471715856446636</v>
      </c>
      <c r="V26" s="1273">
        <f t="shared" si="11"/>
        <v>-7.2593488227681107</v>
      </c>
      <c r="W26" s="1274">
        <f t="shared" si="11"/>
        <v>-4.8410304104101556</v>
      </c>
    </row>
    <row r="27" spans="1:23" s="57" customFormat="1" ht="29.25" customHeight="1">
      <c r="A27" s="1271" t="s">
        <v>1271</v>
      </c>
      <c r="B27" s="1320" t="s">
        <v>1257</v>
      </c>
      <c r="C27" s="1326">
        <f>'11. Амортиз. план'!E130</f>
        <v>0</v>
      </c>
      <c r="D27" s="1196">
        <f>'11. Амортиз. план'!F130</f>
        <v>28.560000000000002</v>
      </c>
      <c r="E27" s="1196">
        <f>'11. Амортиз. план'!G130</f>
        <v>82.511369023293824</v>
      </c>
      <c r="F27" s="1196">
        <f>'11. Амортиз. план'!H130</f>
        <v>144.13554907272351</v>
      </c>
      <c r="G27" s="1196">
        <f>'11. Амортиз. план'!I130</f>
        <v>229.14660205062484</v>
      </c>
      <c r="H27" s="1196">
        <f>'11. Амортиз. план'!J130</f>
        <v>335.03449347275171</v>
      </c>
      <c r="I27" s="1272">
        <f>'11. Амортиз. план'!K130</f>
        <v>446.61250592235672</v>
      </c>
      <c r="J27" s="1322">
        <f>'11. Амортиз. план'!L130</f>
        <v>0</v>
      </c>
      <c r="K27" s="1322">
        <f>'11. Амортиз. план'!M130</f>
        <v>2.89</v>
      </c>
      <c r="L27" s="1196">
        <f>'11. Амортиз. план'!N130</f>
        <v>6.0194769105026564</v>
      </c>
      <c r="M27" s="1196">
        <f>'11. Амортиз. план'!O130</f>
        <v>16.449435299020628</v>
      </c>
      <c r="N27" s="1196">
        <f>'11. Амортиз. план'!P130</f>
        <v>40.223607818007054</v>
      </c>
      <c r="O27" s="1196">
        <f>'11. Амортиз. план'!Q130</f>
        <v>74.258258832548933</v>
      </c>
      <c r="P27" s="1330">
        <f>'11. Амортиз. план'!R130</f>
        <v>109.85081929963098</v>
      </c>
      <c r="Q27" s="1326">
        <f>'11. Амортиз. план'!S130</f>
        <v>0</v>
      </c>
      <c r="R27" s="1196">
        <f>'11. Амортиз. план'!T130</f>
        <v>3.9</v>
      </c>
      <c r="S27" s="1196">
        <f>'11. Амортиз. план'!U130</f>
        <v>8.5391540662035137</v>
      </c>
      <c r="T27" s="1196">
        <f>'11. Амортиз. план'!V130</f>
        <v>13.815015628255887</v>
      </c>
      <c r="U27" s="1196">
        <f>'11. Амортиз. план'!W130</f>
        <v>22.634790131368153</v>
      </c>
      <c r="V27" s="1196">
        <f>'11. Амортиз. план'!X130</f>
        <v>27.697247694699406</v>
      </c>
      <c r="W27" s="1272">
        <f>'11. Амортиз. план'!Y130</f>
        <v>31.106674778012348</v>
      </c>
    </row>
    <row r="28" spans="1:23" s="57" customFormat="1" ht="55.5" customHeight="1">
      <c r="A28" s="1271" t="s">
        <v>1272</v>
      </c>
      <c r="B28" s="1041" t="s">
        <v>1258</v>
      </c>
      <c r="C28" s="1327">
        <f>C27-C17-C23</f>
        <v>-1100</v>
      </c>
      <c r="D28" s="1268">
        <f>D27-D17-D23</f>
        <v>-1974.44</v>
      </c>
      <c r="E28" s="1268">
        <f t="shared" ref="E28:W28" si="12">E27-E17-E23</f>
        <v>-1267.1800485273329</v>
      </c>
      <c r="F28" s="1268">
        <f>F27-F17-F23</f>
        <v>-1771.808027753473</v>
      </c>
      <c r="G28" s="1268">
        <f t="shared" si="12"/>
        <v>-1773.7080890248901</v>
      </c>
      <c r="H28" s="1268">
        <f t="shared" si="12"/>
        <v>-2002.0232892200875</v>
      </c>
      <c r="I28" s="1275">
        <f t="shared" si="12"/>
        <v>-1684.7766632670141</v>
      </c>
      <c r="J28" s="1323">
        <f t="shared" si="12"/>
        <v>0</v>
      </c>
      <c r="K28" s="1268">
        <f t="shared" si="12"/>
        <v>-122.11</v>
      </c>
      <c r="L28" s="1268">
        <f t="shared" si="12"/>
        <v>1.058049716674371</v>
      </c>
      <c r="M28" s="1268">
        <f t="shared" si="12"/>
        <v>-168.92587956244034</v>
      </c>
      <c r="N28" s="1268">
        <f t="shared" si="12"/>
        <v>-622.43924496612715</v>
      </c>
      <c r="O28" s="1268">
        <f t="shared" si="12"/>
        <v>-877.53963997862058</v>
      </c>
      <c r="P28" s="1331">
        <f t="shared" si="12"/>
        <v>-824.91372829539091</v>
      </c>
      <c r="Q28" s="1327">
        <f t="shared" si="12"/>
        <v>0</v>
      </c>
      <c r="R28" s="1268">
        <f t="shared" si="12"/>
        <v>-146.1</v>
      </c>
      <c r="S28" s="1268">
        <f t="shared" si="12"/>
        <v>-25.808001189341319</v>
      </c>
      <c r="T28" s="1268">
        <f t="shared" si="12"/>
        <v>-148.86609268408668</v>
      </c>
      <c r="U28" s="1268">
        <f t="shared" si="12"/>
        <v>-72.847666008982728</v>
      </c>
      <c r="V28" s="1268">
        <f t="shared" si="12"/>
        <v>-21.447070801291751</v>
      </c>
      <c r="W28" s="1275">
        <f t="shared" si="12"/>
        <v>-16.739608437594789</v>
      </c>
    </row>
    <row r="29" spans="1:23" s="57" customFormat="1" ht="24.75" thickBot="1">
      <c r="A29" s="2300" t="s">
        <v>1273</v>
      </c>
      <c r="B29" s="2301" t="s">
        <v>1259</v>
      </c>
      <c r="C29" s="2285">
        <f>'11. Амортиз. план'!E213</f>
        <v>1790</v>
      </c>
      <c r="D29" s="2286">
        <f>'11. Амортиз. план'!F213</f>
        <v>1790</v>
      </c>
      <c r="E29" s="2286">
        <f>'11. Амортиз. план'!G213</f>
        <v>1880.58</v>
      </c>
      <c r="F29" s="2286">
        <f>'11. Амортиз. план'!H213</f>
        <v>2020.7</v>
      </c>
      <c r="G29" s="2286">
        <f>'11. Амортиз. план'!I213</f>
        <v>2193.2799999999997</v>
      </c>
      <c r="H29" s="2286">
        <f>'11. Амортиз. план'!J213</f>
        <v>2265.12</v>
      </c>
      <c r="I29" s="2287">
        <f>'11. Амортиз. план'!K213</f>
        <v>2265.12</v>
      </c>
      <c r="J29" s="2288">
        <f>'11. Амортиз. план'!L213</f>
        <v>780</v>
      </c>
      <c r="K29" s="2286">
        <f>'11. Амортиз. план'!M213</f>
        <v>780</v>
      </c>
      <c r="L29" s="2286">
        <f>'11. Амортиз. план'!N213</f>
        <v>966.1</v>
      </c>
      <c r="M29" s="2286">
        <f>'11. Амортиз. план'!O213</f>
        <v>966.1</v>
      </c>
      <c r="N29" s="2286">
        <f>'11. Амортиз. план'!P213</f>
        <v>1048.52</v>
      </c>
      <c r="O29" s="2286">
        <f>'11. Амортиз. план'!Q213</f>
        <v>2035.3600000000001</v>
      </c>
      <c r="P29" s="2289">
        <f>'11. Амортиз. план'!R213</f>
        <v>2035.3600000000001</v>
      </c>
      <c r="Q29" s="2285">
        <f>'11. Амортиз. план'!S213</f>
        <v>704</v>
      </c>
      <c r="R29" s="2286">
        <f>'11. Амортиз. план'!T213</f>
        <v>704</v>
      </c>
      <c r="S29" s="2286">
        <f>'11. Амортиз. план'!U213</f>
        <v>809.76</v>
      </c>
      <c r="T29" s="2286">
        <f>'11. Амортиз. план'!V213</f>
        <v>1409.72</v>
      </c>
      <c r="U29" s="2286">
        <f>'11. Амортиз. план'!W213</f>
        <v>1883.72</v>
      </c>
      <c r="V29" s="2286">
        <f>'11. Амортиз. план'!X213</f>
        <v>1969.28</v>
      </c>
      <c r="W29" s="2287">
        <f>'11. Амортиз. план'!Y213</f>
        <v>1969.28</v>
      </c>
    </row>
    <row r="30" spans="1:23" s="57" customFormat="1" ht="54.75" customHeight="1" thickBot="1">
      <c r="A30" s="2302" t="s">
        <v>1274</v>
      </c>
      <c r="B30" s="1318" t="s">
        <v>1496</v>
      </c>
      <c r="C30" s="2290">
        <v>1100</v>
      </c>
      <c r="D30" s="2291">
        <v>1790</v>
      </c>
      <c r="E30" s="2291">
        <v>1267</v>
      </c>
      <c r="F30" s="2291">
        <v>1771.5</v>
      </c>
      <c r="G30" s="2291">
        <v>1773.5</v>
      </c>
      <c r="H30" s="2291">
        <v>2002</v>
      </c>
      <c r="I30" s="2293">
        <v>1684.5</v>
      </c>
      <c r="J30" s="2290"/>
      <c r="K30" s="2291">
        <v>122</v>
      </c>
      <c r="L30" s="2291"/>
      <c r="M30" s="2291">
        <v>168.5</v>
      </c>
      <c r="N30" s="2291">
        <v>622</v>
      </c>
      <c r="O30" s="2291">
        <v>877.5</v>
      </c>
      <c r="P30" s="2292">
        <v>824.5</v>
      </c>
      <c r="Q30" s="2294"/>
      <c r="R30" s="2291">
        <v>146</v>
      </c>
      <c r="S30" s="2291">
        <v>25.5</v>
      </c>
      <c r="T30" s="2291">
        <v>148.5</v>
      </c>
      <c r="U30" s="2291">
        <v>72.5</v>
      </c>
      <c r="V30" s="2291">
        <v>21</v>
      </c>
      <c r="W30" s="2292">
        <v>16.5</v>
      </c>
    </row>
    <row r="31" spans="1:23" s="57" customFormat="1" ht="39.75" customHeight="1" thickBot="1">
      <c r="A31" s="2303" t="s">
        <v>1275</v>
      </c>
      <c r="B31" s="2945" t="s">
        <v>1260</v>
      </c>
      <c r="C31" s="2308">
        <f>IF(C30=0,0,C30/C29)</f>
        <v>0.61452513966480449</v>
      </c>
      <c r="D31" s="2304">
        <f t="shared" ref="D31:W31" si="13">IF(D30=0,0,D30/D29)</f>
        <v>1</v>
      </c>
      <c r="E31" s="2304">
        <f t="shared" si="13"/>
        <v>0.67372831785938381</v>
      </c>
      <c r="F31" s="2304">
        <f t="shared" si="13"/>
        <v>0.87667639926758056</v>
      </c>
      <c r="G31" s="2304">
        <f t="shared" si="13"/>
        <v>0.80860628829880377</v>
      </c>
      <c r="H31" s="2304">
        <f t="shared" si="13"/>
        <v>0.88383838383838387</v>
      </c>
      <c r="I31" s="2305">
        <f t="shared" si="13"/>
        <v>0.74366920957830052</v>
      </c>
      <c r="J31" s="2306">
        <f t="shared" si="13"/>
        <v>0</v>
      </c>
      <c r="K31" s="2304">
        <f t="shared" si="13"/>
        <v>0.15641025641025641</v>
      </c>
      <c r="L31" s="2304">
        <f t="shared" si="13"/>
        <v>0</v>
      </c>
      <c r="M31" s="2304">
        <f t="shared" si="13"/>
        <v>0.17441258668874857</v>
      </c>
      <c r="N31" s="2304">
        <f t="shared" si="13"/>
        <v>0.59321710601609889</v>
      </c>
      <c r="O31" s="2304">
        <f t="shared" si="13"/>
        <v>0.43112766291958177</v>
      </c>
      <c r="P31" s="2307">
        <f t="shared" si="13"/>
        <v>0.40508804339281501</v>
      </c>
      <c r="Q31" s="2308">
        <f t="shared" si="13"/>
        <v>0</v>
      </c>
      <c r="R31" s="2304">
        <f t="shared" si="13"/>
        <v>0.20738636363636365</v>
      </c>
      <c r="S31" s="2304">
        <f t="shared" si="13"/>
        <v>3.1490812092471843E-2</v>
      </c>
      <c r="T31" s="2304">
        <f t="shared" si="13"/>
        <v>0.10534006753114093</v>
      </c>
      <c r="U31" s="2304">
        <f t="shared" si="13"/>
        <v>3.8487673327246084E-2</v>
      </c>
      <c r="V31" s="2304">
        <f t="shared" si="13"/>
        <v>1.0663795905102372E-2</v>
      </c>
      <c r="W31" s="2304">
        <f t="shared" si="13"/>
        <v>8.3786967825804359E-3</v>
      </c>
    </row>
    <row r="32" spans="1:23" s="57" customFormat="1" ht="30" customHeight="1" thickBot="1">
      <c r="A32" s="2302">
        <v>8</v>
      </c>
      <c r="B32" s="2946" t="s">
        <v>1540</v>
      </c>
      <c r="C32" s="2944">
        <f t="shared" ref="C32:H32" si="14">C28+C30</f>
        <v>0</v>
      </c>
      <c r="D32" s="2940">
        <f t="shared" si="14"/>
        <v>-184.44000000000005</v>
      </c>
      <c r="E32" s="2940">
        <f t="shared" si="14"/>
        <v>-0.18004852733292864</v>
      </c>
      <c r="F32" s="2940">
        <f t="shared" si="14"/>
        <v>-0.30802775347297029</v>
      </c>
      <c r="G32" s="2940">
        <f t="shared" si="14"/>
        <v>-0.20808902489011416</v>
      </c>
      <c r="H32" s="2940">
        <f t="shared" si="14"/>
        <v>-2.3289220087463036E-2</v>
      </c>
      <c r="I32" s="2947">
        <f>I28+I30</f>
        <v>-0.27666326701410071</v>
      </c>
      <c r="J32" s="2944">
        <f t="shared" ref="J32:W32" si="15">J28+J30</f>
        <v>0</v>
      </c>
      <c r="K32" s="2940">
        <f t="shared" si="15"/>
        <v>-0.10999999999999943</v>
      </c>
      <c r="L32" s="2940">
        <f t="shared" si="15"/>
        <v>1.058049716674371</v>
      </c>
      <c r="M32" s="2940">
        <f t="shared" si="15"/>
        <v>-0.42587956244034331</v>
      </c>
      <c r="N32" s="2940">
        <f t="shared" si="15"/>
        <v>-0.43924496612714847</v>
      </c>
      <c r="O32" s="2940">
        <f t="shared" si="15"/>
        <v>-3.963997862058477E-2</v>
      </c>
      <c r="P32" s="2947">
        <f t="shared" si="15"/>
        <v>-0.41372829539091072</v>
      </c>
      <c r="Q32" s="2944">
        <f t="shared" si="15"/>
        <v>0</v>
      </c>
      <c r="R32" s="2940">
        <f t="shared" si="15"/>
        <v>-9.9999999999994316E-2</v>
      </c>
      <c r="S32" s="2940">
        <f t="shared" si="15"/>
        <v>-0.30800118934131859</v>
      </c>
      <c r="T32" s="2940">
        <f t="shared" si="15"/>
        <v>-0.36609268408668072</v>
      </c>
      <c r="U32" s="2940">
        <f t="shared" si="15"/>
        <v>-0.3476660089827277</v>
      </c>
      <c r="V32" s="2940">
        <f t="shared" si="15"/>
        <v>-0.44707080129175125</v>
      </c>
      <c r="W32" s="2940">
        <f t="shared" si="15"/>
        <v>-0.23960843759478934</v>
      </c>
    </row>
    <row r="33" spans="1:23" s="57" customFormat="1" ht="13.5" thickBot="1">
      <c r="A33" s="1332"/>
      <c r="B33" s="1333"/>
      <c r="C33" s="1333"/>
      <c r="D33" s="1333"/>
      <c r="E33" s="1333"/>
      <c r="F33" s="1333"/>
      <c r="G33" s="1333"/>
      <c r="H33" s="1333"/>
      <c r="I33" s="1333"/>
      <c r="J33" s="1333"/>
      <c r="K33" s="1333"/>
      <c r="L33" s="1333"/>
      <c r="M33" s="1333"/>
      <c r="N33" s="1333"/>
      <c r="O33" s="1333"/>
      <c r="P33" s="1333"/>
      <c r="Q33" s="1333"/>
      <c r="R33" s="1333"/>
      <c r="S33" s="1333"/>
      <c r="T33" s="1333"/>
      <c r="U33" s="1333"/>
      <c r="V33" s="1333"/>
      <c r="W33" s="1334"/>
    </row>
    <row r="34" spans="1:23" s="125" customFormat="1" ht="27" customHeight="1">
      <c r="A34" s="3529">
        <v>9</v>
      </c>
      <c r="B34" s="3536" t="s">
        <v>1252</v>
      </c>
      <c r="C34" s="3523" t="s">
        <v>945</v>
      </c>
      <c r="D34" s="3524"/>
      <c r="E34" s="3524"/>
      <c r="F34" s="3524"/>
      <c r="G34" s="3524"/>
      <c r="H34" s="3524"/>
      <c r="I34" s="3525"/>
      <c r="J34" s="3523" t="s">
        <v>1251</v>
      </c>
      <c r="K34" s="3524"/>
      <c r="L34" s="3524"/>
      <c r="M34" s="3524"/>
      <c r="N34" s="3524"/>
      <c r="O34" s="3524"/>
      <c r="P34" s="3525"/>
      <c r="Q34" s="3526" t="s">
        <v>946</v>
      </c>
      <c r="R34" s="3524"/>
      <c r="S34" s="3524"/>
      <c r="T34" s="3524"/>
      <c r="U34" s="3524"/>
      <c r="V34" s="3524"/>
      <c r="W34" s="3525"/>
    </row>
    <row r="35" spans="1:23" s="2" customFormat="1" ht="13.5" thickBot="1">
      <c r="A35" s="3530"/>
      <c r="B35" s="3537"/>
      <c r="C35" s="1971" t="str">
        <f t="shared" ref="C35:W35" si="16">C7</f>
        <v>2015 г.</v>
      </c>
      <c r="D35" s="1972" t="str">
        <f t="shared" si="16"/>
        <v>2016 г.</v>
      </c>
      <c r="E35" s="1972" t="str">
        <f t="shared" si="16"/>
        <v>2017 г.</v>
      </c>
      <c r="F35" s="1972" t="str">
        <f t="shared" si="16"/>
        <v>2018 г.</v>
      </c>
      <c r="G35" s="1972" t="str">
        <f t="shared" si="16"/>
        <v>2019 г.</v>
      </c>
      <c r="H35" s="1972" t="str">
        <f t="shared" si="16"/>
        <v>2020 г.</v>
      </c>
      <c r="I35" s="1973" t="str">
        <f t="shared" si="16"/>
        <v>2021 г.</v>
      </c>
      <c r="J35" s="1971" t="str">
        <f t="shared" si="16"/>
        <v>2015 г.</v>
      </c>
      <c r="K35" s="1972" t="str">
        <f t="shared" si="16"/>
        <v>2016 г.</v>
      </c>
      <c r="L35" s="1972" t="str">
        <f t="shared" si="16"/>
        <v>2017 г.</v>
      </c>
      <c r="M35" s="1972" t="str">
        <f t="shared" si="16"/>
        <v>2018 г.</v>
      </c>
      <c r="N35" s="1972" t="str">
        <f t="shared" si="16"/>
        <v>2019 г.</v>
      </c>
      <c r="O35" s="1972" t="str">
        <f t="shared" si="16"/>
        <v>2020 г.</v>
      </c>
      <c r="P35" s="1973" t="str">
        <f t="shared" si="16"/>
        <v>2021 г.</v>
      </c>
      <c r="Q35" s="1974" t="str">
        <f t="shared" si="16"/>
        <v>2015 г.</v>
      </c>
      <c r="R35" s="1972" t="str">
        <f t="shared" si="16"/>
        <v>2016 г.</v>
      </c>
      <c r="S35" s="1972" t="str">
        <f t="shared" si="16"/>
        <v>2017 г.</v>
      </c>
      <c r="T35" s="1972" t="str">
        <f t="shared" si="16"/>
        <v>2018 г.</v>
      </c>
      <c r="U35" s="1972" t="str">
        <f t="shared" si="16"/>
        <v>2019 г.</v>
      </c>
      <c r="V35" s="1972" t="str">
        <f t="shared" si="16"/>
        <v>2020 г.</v>
      </c>
      <c r="W35" s="1973" t="str">
        <f t="shared" si="16"/>
        <v>2021 г.</v>
      </c>
    </row>
    <row r="36" spans="1:23" s="2" customFormat="1">
      <c r="A36" s="1280" t="s">
        <v>1276</v>
      </c>
      <c r="B36" s="1276" t="s">
        <v>255</v>
      </c>
      <c r="C36" s="804"/>
      <c r="D36" s="2818">
        <f t="shared" ref="D36:I36" si="17">C42</f>
        <v>0</v>
      </c>
      <c r="E36" s="2816">
        <f t="shared" si="17"/>
        <v>0</v>
      </c>
      <c r="F36" s="2816">
        <f t="shared" si="17"/>
        <v>0</v>
      </c>
      <c r="G36" s="2816">
        <f t="shared" si="17"/>
        <v>0</v>
      </c>
      <c r="H36" s="2816">
        <f t="shared" si="17"/>
        <v>0</v>
      </c>
      <c r="I36" s="2817">
        <f t="shared" si="17"/>
        <v>0</v>
      </c>
      <c r="J36" s="804"/>
      <c r="K36" s="2815">
        <f t="shared" ref="K36:P36" si="18">J42</f>
        <v>0</v>
      </c>
      <c r="L36" s="2816">
        <f t="shared" si="18"/>
        <v>0</v>
      </c>
      <c r="M36" s="2816">
        <f t="shared" si="18"/>
        <v>0</v>
      </c>
      <c r="N36" s="2816">
        <f t="shared" si="18"/>
        <v>0</v>
      </c>
      <c r="O36" s="2816">
        <f t="shared" si="18"/>
        <v>0</v>
      </c>
      <c r="P36" s="2817">
        <f t="shared" si="18"/>
        <v>0</v>
      </c>
      <c r="Q36" s="804"/>
      <c r="R36" s="2815">
        <f t="shared" ref="R36:W36" si="19">Q42</f>
        <v>0</v>
      </c>
      <c r="S36" s="2816">
        <f t="shared" si="19"/>
        <v>0</v>
      </c>
      <c r="T36" s="2816">
        <f t="shared" si="19"/>
        <v>0</v>
      </c>
      <c r="U36" s="2816">
        <f t="shared" si="19"/>
        <v>0</v>
      </c>
      <c r="V36" s="2816">
        <f t="shared" si="19"/>
        <v>0</v>
      </c>
      <c r="W36" s="2817">
        <f t="shared" si="19"/>
        <v>0</v>
      </c>
    </row>
    <row r="37" spans="1:23" s="2" customFormat="1">
      <c r="A37" s="1280" t="s">
        <v>1277</v>
      </c>
      <c r="B37" s="1277" t="s">
        <v>256</v>
      </c>
      <c r="C37" s="780"/>
      <c r="D37" s="781"/>
      <c r="E37" s="781"/>
      <c r="F37" s="781"/>
      <c r="G37" s="781"/>
      <c r="H37" s="781"/>
      <c r="I37" s="790"/>
      <c r="J37" s="780"/>
      <c r="K37" s="781"/>
      <c r="L37" s="781"/>
      <c r="M37" s="781"/>
      <c r="N37" s="781"/>
      <c r="O37" s="781"/>
      <c r="P37" s="790"/>
      <c r="Q37" s="780"/>
      <c r="R37" s="781"/>
      <c r="S37" s="781"/>
      <c r="T37" s="781"/>
      <c r="U37" s="781"/>
      <c r="V37" s="781"/>
      <c r="W37" s="790"/>
    </row>
    <row r="38" spans="1:23" s="2" customFormat="1">
      <c r="A38" s="1281" t="s">
        <v>1278</v>
      </c>
      <c r="B38" s="1277" t="s">
        <v>257</v>
      </c>
      <c r="C38" s="780"/>
      <c r="D38" s="781"/>
      <c r="E38" s="781"/>
      <c r="F38" s="781"/>
      <c r="G38" s="781"/>
      <c r="H38" s="781"/>
      <c r="I38" s="790"/>
      <c r="J38" s="780"/>
      <c r="K38" s="781"/>
      <c r="L38" s="781"/>
      <c r="M38" s="781"/>
      <c r="N38" s="781"/>
      <c r="O38" s="781"/>
      <c r="P38" s="790"/>
      <c r="Q38" s="780"/>
      <c r="R38" s="781"/>
      <c r="S38" s="781"/>
      <c r="T38" s="781"/>
      <c r="U38" s="781"/>
      <c r="V38" s="781"/>
      <c r="W38" s="790"/>
    </row>
    <row r="39" spans="1:23" s="2" customFormat="1">
      <c r="A39" s="1281" t="s">
        <v>1279</v>
      </c>
      <c r="B39" s="1277" t="s">
        <v>258</v>
      </c>
      <c r="C39" s="780"/>
      <c r="D39" s="781"/>
      <c r="E39" s="781"/>
      <c r="F39" s="781"/>
      <c r="G39" s="781"/>
      <c r="H39" s="781"/>
      <c r="I39" s="790"/>
      <c r="J39" s="780"/>
      <c r="K39" s="781"/>
      <c r="L39" s="781"/>
      <c r="M39" s="781"/>
      <c r="N39" s="781"/>
      <c r="O39" s="781"/>
      <c r="P39" s="790"/>
      <c r="Q39" s="780"/>
      <c r="R39" s="781"/>
      <c r="S39" s="781"/>
      <c r="T39" s="781"/>
      <c r="U39" s="781"/>
      <c r="V39" s="781"/>
      <c r="W39" s="790"/>
    </row>
    <row r="40" spans="1:23" s="2" customFormat="1">
      <c r="A40" s="1281" t="s">
        <v>1280</v>
      </c>
      <c r="B40" s="1277" t="s">
        <v>259</v>
      </c>
      <c r="C40" s="2154">
        <f t="shared" ref="C40:I40" si="20">IF(C36=0,0,C39/((C36+C42)/2))</f>
        <v>0</v>
      </c>
      <c r="D40" s="2155">
        <f t="shared" si="20"/>
        <v>0</v>
      </c>
      <c r="E40" s="2155">
        <f t="shared" si="20"/>
        <v>0</v>
      </c>
      <c r="F40" s="2155">
        <f t="shared" si="20"/>
        <v>0</v>
      </c>
      <c r="G40" s="2155">
        <f t="shared" si="20"/>
        <v>0</v>
      </c>
      <c r="H40" s="2155">
        <f t="shared" si="20"/>
        <v>0</v>
      </c>
      <c r="I40" s="2295">
        <f t="shared" si="20"/>
        <v>0</v>
      </c>
      <c r="J40" s="1199">
        <f t="shared" ref="J40:W40" si="21">IF(J36=0,0,J39/((J36+J42)/2))</f>
        <v>0</v>
      </c>
      <c r="K40" s="1200">
        <f t="shared" si="21"/>
        <v>0</v>
      </c>
      <c r="L40" s="1200">
        <f t="shared" si="21"/>
        <v>0</v>
      </c>
      <c r="M40" s="1200">
        <f t="shared" si="21"/>
        <v>0</v>
      </c>
      <c r="N40" s="1200">
        <f t="shared" si="21"/>
        <v>0</v>
      </c>
      <c r="O40" s="1200">
        <f t="shared" si="21"/>
        <v>0</v>
      </c>
      <c r="P40" s="1201">
        <f t="shared" si="21"/>
        <v>0</v>
      </c>
      <c r="Q40" s="1199">
        <f t="shared" si="21"/>
        <v>0</v>
      </c>
      <c r="R40" s="1200">
        <f t="shared" si="21"/>
        <v>0</v>
      </c>
      <c r="S40" s="1200">
        <f t="shared" si="21"/>
        <v>0</v>
      </c>
      <c r="T40" s="1200">
        <f t="shared" si="21"/>
        <v>0</v>
      </c>
      <c r="U40" s="1200">
        <f t="shared" si="21"/>
        <v>0</v>
      </c>
      <c r="V40" s="1200">
        <f t="shared" si="21"/>
        <v>0</v>
      </c>
      <c r="W40" s="1201">
        <f t="shared" si="21"/>
        <v>0</v>
      </c>
    </row>
    <row r="41" spans="1:23" s="2" customFormat="1">
      <c r="A41" s="1281" t="s">
        <v>1281</v>
      </c>
      <c r="B41" s="1277" t="s">
        <v>260</v>
      </c>
      <c r="C41" s="1202">
        <f>C38+C39</f>
        <v>0</v>
      </c>
      <c r="D41" s="1203">
        <f t="shared" ref="D41:I41" si="22">D38+D39</f>
        <v>0</v>
      </c>
      <c r="E41" s="1203">
        <f t="shared" si="22"/>
        <v>0</v>
      </c>
      <c r="F41" s="1203">
        <f t="shared" si="22"/>
        <v>0</v>
      </c>
      <c r="G41" s="1203">
        <f t="shared" si="22"/>
        <v>0</v>
      </c>
      <c r="H41" s="1203">
        <f t="shared" si="22"/>
        <v>0</v>
      </c>
      <c r="I41" s="1204">
        <f t="shared" si="22"/>
        <v>0</v>
      </c>
      <c r="J41" s="1202">
        <f>J38+J39</f>
        <v>0</v>
      </c>
      <c r="K41" s="1203">
        <f t="shared" ref="K41:P41" si="23">K38+K39</f>
        <v>0</v>
      </c>
      <c r="L41" s="1203">
        <f t="shared" si="23"/>
        <v>0</v>
      </c>
      <c r="M41" s="1203">
        <f t="shared" si="23"/>
        <v>0</v>
      </c>
      <c r="N41" s="1203">
        <f t="shared" si="23"/>
        <v>0</v>
      </c>
      <c r="O41" s="1203">
        <f t="shared" si="23"/>
        <v>0</v>
      </c>
      <c r="P41" s="1204">
        <f t="shared" si="23"/>
        <v>0</v>
      </c>
      <c r="Q41" s="1202">
        <f>Q38+Q39</f>
        <v>0</v>
      </c>
      <c r="R41" s="1203">
        <f t="shared" ref="R41:W41" si="24">R38+R39</f>
        <v>0</v>
      </c>
      <c r="S41" s="1203">
        <f t="shared" si="24"/>
        <v>0</v>
      </c>
      <c r="T41" s="1203">
        <f t="shared" si="24"/>
        <v>0</v>
      </c>
      <c r="U41" s="1203">
        <f t="shared" si="24"/>
        <v>0</v>
      </c>
      <c r="V41" s="1203">
        <f t="shared" si="24"/>
        <v>0</v>
      </c>
      <c r="W41" s="1204">
        <f t="shared" si="24"/>
        <v>0</v>
      </c>
    </row>
    <row r="42" spans="1:23" s="2" customFormat="1" ht="13.5" thickBot="1">
      <c r="A42" s="1282" t="s">
        <v>1282</v>
      </c>
      <c r="B42" s="1283" t="s">
        <v>261</v>
      </c>
      <c r="C42" s="1205">
        <f>C36+C37-C38</f>
        <v>0</v>
      </c>
      <c r="D42" s="1206">
        <f t="shared" ref="D42:I42" si="25">D36+D37-D38</f>
        <v>0</v>
      </c>
      <c r="E42" s="1206">
        <f t="shared" si="25"/>
        <v>0</v>
      </c>
      <c r="F42" s="1206">
        <f t="shared" si="25"/>
        <v>0</v>
      </c>
      <c r="G42" s="1206">
        <f t="shared" si="25"/>
        <v>0</v>
      </c>
      <c r="H42" s="1206">
        <f t="shared" si="25"/>
        <v>0</v>
      </c>
      <c r="I42" s="1207">
        <f t="shared" si="25"/>
        <v>0</v>
      </c>
      <c r="J42" s="1205">
        <f>J36+J37-J38</f>
        <v>0</v>
      </c>
      <c r="K42" s="1206">
        <f t="shared" ref="K42:P42" si="26">K36+K37-K38</f>
        <v>0</v>
      </c>
      <c r="L42" s="1206">
        <f t="shared" si="26"/>
        <v>0</v>
      </c>
      <c r="M42" s="1206">
        <f t="shared" si="26"/>
        <v>0</v>
      </c>
      <c r="N42" s="1206">
        <f t="shared" si="26"/>
        <v>0</v>
      </c>
      <c r="O42" s="1206">
        <f t="shared" si="26"/>
        <v>0</v>
      </c>
      <c r="P42" s="1207">
        <f t="shared" si="26"/>
        <v>0</v>
      </c>
      <c r="Q42" s="1205">
        <f>Q36+Q37-Q38</f>
        <v>0</v>
      </c>
      <c r="R42" s="1206">
        <f t="shared" ref="R42:W42" si="27">R36+R37-R38</f>
        <v>0</v>
      </c>
      <c r="S42" s="1206">
        <f t="shared" si="27"/>
        <v>0</v>
      </c>
      <c r="T42" s="1206">
        <f t="shared" si="27"/>
        <v>0</v>
      </c>
      <c r="U42" s="1206">
        <f t="shared" si="27"/>
        <v>0</v>
      </c>
      <c r="V42" s="1206">
        <f t="shared" si="27"/>
        <v>0</v>
      </c>
      <c r="W42" s="1207">
        <f t="shared" si="27"/>
        <v>0</v>
      </c>
    </row>
    <row r="43" spans="1:23" s="2" customFormat="1" ht="24">
      <c r="A43" s="2309" t="s">
        <v>1283</v>
      </c>
      <c r="B43" s="1335" t="s">
        <v>1307</v>
      </c>
      <c r="C43" s="2910"/>
      <c r="D43" s="2911"/>
      <c r="E43" s="2911"/>
      <c r="F43" s="2911"/>
      <c r="G43" s="2911"/>
      <c r="H43" s="2911"/>
      <c r="I43" s="2912"/>
      <c r="J43" s="2910"/>
      <c r="K43" s="2911"/>
      <c r="L43" s="2911"/>
      <c r="M43" s="2911"/>
      <c r="N43" s="2911"/>
      <c r="O43" s="2911"/>
      <c r="P43" s="2912"/>
      <c r="Q43" s="2910"/>
      <c r="R43" s="2911"/>
      <c r="S43" s="2911"/>
      <c r="T43" s="2911"/>
      <c r="U43" s="2911"/>
      <c r="V43" s="2911"/>
      <c r="W43" s="2912"/>
    </row>
    <row r="44" spans="1:23" s="2" customFormat="1" ht="24">
      <c r="A44" s="2310" t="s">
        <v>1284</v>
      </c>
      <c r="B44" s="1336" t="s">
        <v>1308</v>
      </c>
      <c r="C44" s="2913"/>
      <c r="D44" s="2914"/>
      <c r="E44" s="2914"/>
      <c r="F44" s="2914"/>
      <c r="G44" s="2914"/>
      <c r="H44" s="2914"/>
      <c r="I44" s="2915"/>
      <c r="J44" s="2913"/>
      <c r="K44" s="2914"/>
      <c r="L44" s="2914"/>
      <c r="M44" s="2914"/>
      <c r="N44" s="2914"/>
      <c r="O44" s="2914"/>
      <c r="P44" s="2915"/>
      <c r="Q44" s="2913"/>
      <c r="R44" s="2914"/>
      <c r="S44" s="2914"/>
      <c r="T44" s="2914"/>
      <c r="U44" s="2914"/>
      <c r="V44" s="2914"/>
      <c r="W44" s="2915"/>
    </row>
    <row r="45" spans="1:23" s="2" customFormat="1" ht="24.75" thickBot="1">
      <c r="A45" s="2311" t="s">
        <v>1285</v>
      </c>
      <c r="B45" s="1337" t="s">
        <v>1309</v>
      </c>
      <c r="C45" s="2916"/>
      <c r="D45" s="2917"/>
      <c r="E45" s="2917"/>
      <c r="F45" s="2917"/>
      <c r="G45" s="2917"/>
      <c r="H45" s="2917"/>
      <c r="I45" s="2918"/>
      <c r="J45" s="2916"/>
      <c r="K45" s="2917"/>
      <c r="L45" s="2917"/>
      <c r="M45" s="2917"/>
      <c r="N45" s="2917"/>
      <c r="O45" s="2917"/>
      <c r="P45" s="2918"/>
      <c r="Q45" s="2916"/>
      <c r="R45" s="2917"/>
      <c r="S45" s="2917"/>
      <c r="T45" s="2917"/>
      <c r="U45" s="2917"/>
      <c r="V45" s="2917"/>
      <c r="W45" s="2918"/>
    </row>
    <row r="46" spans="1:23" s="2" customFormat="1" ht="24" customHeight="1">
      <c r="A46" s="3541">
        <v>10</v>
      </c>
      <c r="B46" s="3548" t="s">
        <v>1253</v>
      </c>
      <c r="C46" s="3545" t="s">
        <v>1494</v>
      </c>
      <c r="D46" s="3546"/>
      <c r="E46" s="3546"/>
      <c r="F46" s="3546"/>
      <c r="G46" s="3546"/>
      <c r="H46" s="3546"/>
      <c r="I46" s="3547"/>
      <c r="J46" s="3551" t="s">
        <v>1495</v>
      </c>
      <c r="K46" s="3552"/>
      <c r="L46" s="3552"/>
      <c r="M46" s="3552"/>
      <c r="N46" s="3552"/>
      <c r="O46" s="3552"/>
      <c r="P46" s="3553"/>
      <c r="Q46" s="1224"/>
      <c r="R46" s="1224"/>
      <c r="S46" s="1224"/>
      <c r="T46" s="1224"/>
      <c r="U46" s="1224"/>
      <c r="V46" s="1224"/>
      <c r="W46" s="1224"/>
    </row>
    <row r="47" spans="1:23" s="2" customFormat="1" ht="13.5" thickBot="1">
      <c r="A47" s="3530"/>
      <c r="B47" s="3549"/>
      <c r="C47" s="2296" t="str">
        <f>C35</f>
        <v>2015 г.</v>
      </c>
      <c r="D47" s="2297" t="str">
        <f t="shared" ref="D47:P47" si="28">D35</f>
        <v>2016 г.</v>
      </c>
      <c r="E47" s="2297" t="str">
        <f t="shared" si="28"/>
        <v>2017 г.</v>
      </c>
      <c r="F47" s="2297" t="str">
        <f t="shared" si="28"/>
        <v>2018 г.</v>
      </c>
      <c r="G47" s="2297" t="str">
        <f t="shared" si="28"/>
        <v>2019 г.</v>
      </c>
      <c r="H47" s="2297" t="str">
        <f t="shared" si="28"/>
        <v>2020 г.</v>
      </c>
      <c r="I47" s="2298" t="str">
        <f t="shared" si="28"/>
        <v>2021 г.</v>
      </c>
      <c r="J47" s="1975" t="str">
        <f>J35</f>
        <v>2015 г.</v>
      </c>
      <c r="K47" s="1976" t="str">
        <f t="shared" si="28"/>
        <v>2016 г.</v>
      </c>
      <c r="L47" s="1976" t="str">
        <f t="shared" si="28"/>
        <v>2017 г.</v>
      </c>
      <c r="M47" s="1976" t="str">
        <f t="shared" si="28"/>
        <v>2018 г.</v>
      </c>
      <c r="N47" s="1976" t="str">
        <f t="shared" si="28"/>
        <v>2019 г.</v>
      </c>
      <c r="O47" s="1976" t="str">
        <f t="shared" si="28"/>
        <v>2020 г.</v>
      </c>
      <c r="P47" s="1977" t="str">
        <f t="shared" si="28"/>
        <v>2021 г.</v>
      </c>
    </row>
    <row r="48" spans="1:23" s="2" customFormat="1">
      <c r="A48" s="1280" t="s">
        <v>1286</v>
      </c>
      <c r="B48" s="1720" t="s">
        <v>255</v>
      </c>
      <c r="C48" s="804"/>
      <c r="D48" s="2815">
        <f t="shared" ref="D48:I48" si="29">C54</f>
        <v>0</v>
      </c>
      <c r="E48" s="2816">
        <f t="shared" si="29"/>
        <v>0</v>
      </c>
      <c r="F48" s="2816">
        <f t="shared" si="29"/>
        <v>0</v>
      </c>
      <c r="G48" s="2816">
        <f t="shared" si="29"/>
        <v>0</v>
      </c>
      <c r="H48" s="2816">
        <f t="shared" si="29"/>
        <v>0</v>
      </c>
      <c r="I48" s="2817">
        <f t="shared" si="29"/>
        <v>0</v>
      </c>
      <c r="J48" s="804"/>
      <c r="K48" s="2815">
        <f t="shared" ref="K48:P48" si="30">J54</f>
        <v>0</v>
      </c>
      <c r="L48" s="2816">
        <f t="shared" si="30"/>
        <v>0</v>
      </c>
      <c r="M48" s="2816">
        <f t="shared" si="30"/>
        <v>0</v>
      </c>
      <c r="N48" s="2816">
        <f t="shared" si="30"/>
        <v>0</v>
      </c>
      <c r="O48" s="2816">
        <f t="shared" si="30"/>
        <v>0</v>
      </c>
      <c r="P48" s="2817">
        <f t="shared" si="30"/>
        <v>0</v>
      </c>
    </row>
    <row r="49" spans="1:16" s="2" customFormat="1">
      <c r="A49" s="1280" t="s">
        <v>1287</v>
      </c>
      <c r="B49" s="1721" t="s">
        <v>256</v>
      </c>
      <c r="C49" s="780"/>
      <c r="D49" s="781"/>
      <c r="E49" s="781"/>
      <c r="F49" s="781"/>
      <c r="G49" s="781"/>
      <c r="H49" s="781"/>
      <c r="I49" s="790"/>
      <c r="J49" s="780"/>
      <c r="K49" s="781"/>
      <c r="L49" s="781"/>
      <c r="M49" s="781"/>
      <c r="N49" s="781"/>
      <c r="O49" s="781"/>
      <c r="P49" s="790"/>
    </row>
    <row r="50" spans="1:16" s="2" customFormat="1">
      <c r="A50" s="1281" t="s">
        <v>1288</v>
      </c>
      <c r="B50" s="1721" t="s">
        <v>257</v>
      </c>
      <c r="C50" s="780"/>
      <c r="D50" s="781"/>
      <c r="E50" s="781"/>
      <c r="F50" s="781"/>
      <c r="G50" s="781"/>
      <c r="H50" s="781"/>
      <c r="I50" s="790"/>
      <c r="J50" s="780"/>
      <c r="K50" s="781"/>
      <c r="L50" s="781"/>
      <c r="M50" s="781"/>
      <c r="N50" s="781"/>
      <c r="O50" s="781"/>
      <c r="P50" s="790"/>
    </row>
    <row r="51" spans="1:16" s="2" customFormat="1">
      <c r="A51" s="1281" t="s">
        <v>1289</v>
      </c>
      <c r="B51" s="1721" t="s">
        <v>258</v>
      </c>
      <c r="C51" s="780"/>
      <c r="D51" s="781"/>
      <c r="E51" s="781"/>
      <c r="F51" s="781"/>
      <c r="G51" s="781"/>
      <c r="H51" s="781"/>
      <c r="I51" s="790"/>
      <c r="J51" s="780"/>
      <c r="K51" s="781"/>
      <c r="L51" s="781"/>
      <c r="M51" s="781"/>
      <c r="N51" s="781"/>
      <c r="O51" s="781"/>
      <c r="P51" s="790"/>
    </row>
    <row r="52" spans="1:16" s="2" customFormat="1">
      <c r="A52" s="1281" t="s">
        <v>1290</v>
      </c>
      <c r="B52" s="1721" t="s">
        <v>259</v>
      </c>
      <c r="C52" s="1199">
        <f t="shared" ref="C52:P52" si="31">IF(C48=0,0,C51/((C48+C54)/2))</f>
        <v>0</v>
      </c>
      <c r="D52" s="1200">
        <f t="shared" si="31"/>
        <v>0</v>
      </c>
      <c r="E52" s="1200">
        <f t="shared" si="31"/>
        <v>0</v>
      </c>
      <c r="F52" s="1200">
        <f t="shared" si="31"/>
        <v>0</v>
      </c>
      <c r="G52" s="1200">
        <f t="shared" si="31"/>
        <v>0</v>
      </c>
      <c r="H52" s="1200">
        <f t="shared" si="31"/>
        <v>0</v>
      </c>
      <c r="I52" s="1201">
        <f t="shared" si="31"/>
        <v>0</v>
      </c>
      <c r="J52" s="1243">
        <f t="shared" si="31"/>
        <v>0</v>
      </c>
      <c r="K52" s="1200">
        <f t="shared" si="31"/>
        <v>0</v>
      </c>
      <c r="L52" s="1200">
        <f t="shared" si="31"/>
        <v>0</v>
      </c>
      <c r="M52" s="1200">
        <f t="shared" si="31"/>
        <v>0</v>
      </c>
      <c r="N52" s="1200">
        <f t="shared" si="31"/>
        <v>0</v>
      </c>
      <c r="O52" s="1200">
        <f t="shared" si="31"/>
        <v>0</v>
      </c>
      <c r="P52" s="1201">
        <f t="shared" si="31"/>
        <v>0</v>
      </c>
    </row>
    <row r="53" spans="1:16" s="2" customFormat="1">
      <c r="A53" s="1281" t="s">
        <v>1291</v>
      </c>
      <c r="B53" s="1721" t="s">
        <v>260</v>
      </c>
      <c r="C53" s="1202">
        <f>C50+C51</f>
        <v>0</v>
      </c>
      <c r="D53" s="1203">
        <f t="shared" ref="D53:I53" si="32">D50+D51</f>
        <v>0</v>
      </c>
      <c r="E53" s="1203">
        <f t="shared" si="32"/>
        <v>0</v>
      </c>
      <c r="F53" s="1203">
        <f t="shared" si="32"/>
        <v>0</v>
      </c>
      <c r="G53" s="1203">
        <f t="shared" si="32"/>
        <v>0</v>
      </c>
      <c r="H53" s="1203">
        <f t="shared" si="32"/>
        <v>0</v>
      </c>
      <c r="I53" s="1204">
        <f t="shared" si="32"/>
        <v>0</v>
      </c>
      <c r="J53" s="1244">
        <f>J50+J51</f>
        <v>0</v>
      </c>
      <c r="K53" s="1203">
        <f t="shared" ref="K53:P53" si="33">K50+K51</f>
        <v>0</v>
      </c>
      <c r="L53" s="1203">
        <f t="shared" si="33"/>
        <v>0</v>
      </c>
      <c r="M53" s="1203">
        <f t="shared" si="33"/>
        <v>0</v>
      </c>
      <c r="N53" s="1203">
        <f t="shared" si="33"/>
        <v>0</v>
      </c>
      <c r="O53" s="1203">
        <f t="shared" si="33"/>
        <v>0</v>
      </c>
      <c r="P53" s="1204">
        <f t="shared" si="33"/>
        <v>0</v>
      </c>
    </row>
    <row r="54" spans="1:16" s="2" customFormat="1" ht="13.5" thickBot="1">
      <c r="A54" s="1350" t="s">
        <v>1292</v>
      </c>
      <c r="B54" s="1722" t="s">
        <v>261</v>
      </c>
      <c r="C54" s="1209">
        <f>C48+C49-C50</f>
        <v>0</v>
      </c>
      <c r="D54" s="1210">
        <f t="shared" ref="D54:I54" si="34">D48+D49-D50</f>
        <v>0</v>
      </c>
      <c r="E54" s="1210">
        <f t="shared" si="34"/>
        <v>0</v>
      </c>
      <c r="F54" s="1210">
        <f t="shared" si="34"/>
        <v>0</v>
      </c>
      <c r="G54" s="1210">
        <f t="shared" si="34"/>
        <v>0</v>
      </c>
      <c r="H54" s="1210">
        <f t="shared" si="34"/>
        <v>0</v>
      </c>
      <c r="I54" s="1211">
        <f t="shared" si="34"/>
        <v>0</v>
      </c>
      <c r="J54" s="2299">
        <f>J48+J49-J50</f>
        <v>0</v>
      </c>
      <c r="K54" s="1210">
        <f t="shared" ref="K54:P54" si="35">K48+K49-K50</f>
        <v>0</v>
      </c>
      <c r="L54" s="1210">
        <f t="shared" si="35"/>
        <v>0</v>
      </c>
      <c r="M54" s="1210">
        <f t="shared" si="35"/>
        <v>0</v>
      </c>
      <c r="N54" s="1210">
        <f t="shared" si="35"/>
        <v>0</v>
      </c>
      <c r="O54" s="1210">
        <f t="shared" si="35"/>
        <v>0</v>
      </c>
      <c r="P54" s="1211">
        <f t="shared" si="35"/>
        <v>0</v>
      </c>
    </row>
    <row r="55" spans="1:16" s="2" customFormat="1" ht="24">
      <c r="A55" s="2309" t="s">
        <v>1293</v>
      </c>
      <c r="B55" s="1351" t="s">
        <v>1307</v>
      </c>
      <c r="C55" s="2913"/>
      <c r="D55" s="2914"/>
      <c r="E55" s="2914"/>
      <c r="F55" s="2914"/>
      <c r="G55" s="2914"/>
      <c r="H55" s="2914"/>
      <c r="I55" s="2915"/>
      <c r="J55" s="2910"/>
      <c r="K55" s="2911"/>
      <c r="L55" s="2911"/>
      <c r="M55" s="2911"/>
      <c r="N55" s="2911"/>
      <c r="O55" s="2911"/>
      <c r="P55" s="2912"/>
    </row>
    <row r="56" spans="1:16" s="2" customFormat="1" ht="24">
      <c r="A56" s="2310" t="s">
        <v>1294</v>
      </c>
      <c r="B56" s="1278" t="s">
        <v>1308</v>
      </c>
      <c r="C56" s="2913"/>
      <c r="D56" s="2914"/>
      <c r="E56" s="2914"/>
      <c r="F56" s="2914"/>
      <c r="G56" s="2914"/>
      <c r="H56" s="2914"/>
      <c r="I56" s="2915"/>
      <c r="J56" s="2913"/>
      <c r="K56" s="2914"/>
      <c r="L56" s="2914"/>
      <c r="M56" s="2914"/>
      <c r="N56" s="2914"/>
      <c r="O56" s="2914"/>
      <c r="P56" s="2915"/>
    </row>
    <row r="57" spans="1:16" s="2" customFormat="1" ht="24.75" thickBot="1">
      <c r="A57" s="2311" t="s">
        <v>1295</v>
      </c>
      <c r="B57" s="1279" t="s">
        <v>1309</v>
      </c>
      <c r="C57" s="2913"/>
      <c r="D57" s="2914"/>
      <c r="E57" s="2914"/>
      <c r="F57" s="2914"/>
      <c r="G57" s="2914"/>
      <c r="H57" s="2914"/>
      <c r="I57" s="2915"/>
      <c r="J57" s="2916"/>
      <c r="K57" s="2917"/>
      <c r="L57" s="2917"/>
      <c r="M57" s="2917"/>
      <c r="N57" s="2917"/>
      <c r="O57" s="2917"/>
      <c r="P57" s="2918"/>
    </row>
    <row r="58" spans="1:16" s="2" customFormat="1" ht="13.5" customHeight="1">
      <c r="A58" s="3541">
        <v>11</v>
      </c>
      <c r="B58" s="3543" t="s">
        <v>1254</v>
      </c>
      <c r="C58" s="3545" t="s">
        <v>1547</v>
      </c>
      <c r="D58" s="3546"/>
      <c r="E58" s="3546"/>
      <c r="F58" s="3546"/>
      <c r="G58" s="3546"/>
      <c r="H58" s="3546"/>
      <c r="I58" s="3547"/>
      <c r="J58" s="3545" t="s">
        <v>1548</v>
      </c>
      <c r="K58" s="3546"/>
      <c r="L58" s="3546"/>
      <c r="M58" s="3546"/>
      <c r="N58" s="3546"/>
      <c r="O58" s="3546"/>
      <c r="P58" s="3547"/>
    </row>
    <row r="59" spans="1:16" s="2" customFormat="1" ht="13.5" thickBot="1">
      <c r="A59" s="3530"/>
      <c r="B59" s="3544"/>
      <c r="C59" s="1227" t="str">
        <f t="shared" ref="C59:P59" si="36">C7</f>
        <v>2015 г.</v>
      </c>
      <c r="D59" s="1225" t="str">
        <f t="shared" si="36"/>
        <v>2016 г.</v>
      </c>
      <c r="E59" s="1225" t="str">
        <f t="shared" si="36"/>
        <v>2017 г.</v>
      </c>
      <c r="F59" s="1225" t="str">
        <f t="shared" si="36"/>
        <v>2018 г.</v>
      </c>
      <c r="G59" s="1225" t="str">
        <f t="shared" si="36"/>
        <v>2019 г.</v>
      </c>
      <c r="H59" s="1225" t="str">
        <f t="shared" si="36"/>
        <v>2020 г.</v>
      </c>
      <c r="I59" s="1226" t="str">
        <f t="shared" si="36"/>
        <v>2021 г.</v>
      </c>
      <c r="J59" s="1227" t="str">
        <f t="shared" si="36"/>
        <v>2015 г.</v>
      </c>
      <c r="K59" s="1225" t="str">
        <f t="shared" si="36"/>
        <v>2016 г.</v>
      </c>
      <c r="L59" s="1225" t="str">
        <f t="shared" si="36"/>
        <v>2017 г.</v>
      </c>
      <c r="M59" s="1225" t="str">
        <f t="shared" si="36"/>
        <v>2018 г.</v>
      </c>
      <c r="N59" s="1225" t="str">
        <f t="shared" si="36"/>
        <v>2019 г.</v>
      </c>
      <c r="O59" s="1225" t="str">
        <f t="shared" si="36"/>
        <v>2020 г.</v>
      </c>
      <c r="P59" s="1226" t="str">
        <f t="shared" si="36"/>
        <v>2021 г.</v>
      </c>
    </row>
    <row r="60" spans="1:16" s="2" customFormat="1">
      <c r="A60" s="1280" t="s">
        <v>1296</v>
      </c>
      <c r="B60" s="1197" t="s">
        <v>255</v>
      </c>
      <c r="C60" s="2961"/>
      <c r="D60" s="2819">
        <f t="shared" ref="D60:I60" si="37">C66</f>
        <v>0</v>
      </c>
      <c r="E60" s="2820">
        <f t="shared" si="37"/>
        <v>0</v>
      </c>
      <c r="F60" s="2820">
        <f t="shared" si="37"/>
        <v>0</v>
      </c>
      <c r="G60" s="2820">
        <f t="shared" si="37"/>
        <v>0</v>
      </c>
      <c r="H60" s="2820">
        <f t="shared" si="37"/>
        <v>0</v>
      </c>
      <c r="I60" s="2821">
        <f t="shared" si="37"/>
        <v>0</v>
      </c>
      <c r="J60" s="2961"/>
      <c r="K60" s="2819">
        <f t="shared" ref="K60:P60" si="38">J66</f>
        <v>0</v>
      </c>
      <c r="L60" s="2820">
        <f t="shared" si="38"/>
        <v>0</v>
      </c>
      <c r="M60" s="2820">
        <f t="shared" si="38"/>
        <v>0</v>
      </c>
      <c r="N60" s="2820">
        <f t="shared" si="38"/>
        <v>0</v>
      </c>
      <c r="O60" s="2820">
        <f t="shared" si="38"/>
        <v>0</v>
      </c>
      <c r="P60" s="2821">
        <f t="shared" si="38"/>
        <v>0</v>
      </c>
    </row>
    <row r="61" spans="1:16" s="2" customFormat="1">
      <c r="A61" s="1280" t="s">
        <v>1297</v>
      </c>
      <c r="B61" s="1198" t="s">
        <v>256</v>
      </c>
      <c r="C61" s="2960"/>
      <c r="D61" s="781"/>
      <c r="E61" s="781"/>
      <c r="F61" s="781"/>
      <c r="G61" s="781"/>
      <c r="H61" s="781"/>
      <c r="I61" s="790"/>
      <c r="J61" s="2960"/>
      <c r="K61" s="781"/>
      <c r="L61" s="781"/>
      <c r="M61" s="781"/>
      <c r="N61" s="781"/>
      <c r="O61" s="781"/>
      <c r="P61" s="790"/>
    </row>
    <row r="62" spans="1:16" s="2" customFormat="1">
      <c r="A62" s="1281" t="s">
        <v>1298</v>
      </c>
      <c r="B62" s="1198" t="s">
        <v>257</v>
      </c>
      <c r="C62" s="2960"/>
      <c r="D62" s="781"/>
      <c r="E62" s="781"/>
      <c r="F62" s="781"/>
      <c r="G62" s="781"/>
      <c r="H62" s="781"/>
      <c r="I62" s="790"/>
      <c r="J62" s="2960"/>
      <c r="K62" s="781"/>
      <c r="L62" s="781"/>
      <c r="M62" s="781"/>
      <c r="N62" s="781"/>
      <c r="O62" s="781"/>
      <c r="P62" s="790"/>
    </row>
    <row r="63" spans="1:16" s="2" customFormat="1">
      <c r="A63" s="1281" t="s">
        <v>1299</v>
      </c>
      <c r="B63" s="1198" t="s">
        <v>258</v>
      </c>
      <c r="C63" s="2960"/>
      <c r="D63" s="781"/>
      <c r="E63" s="781"/>
      <c r="F63" s="781"/>
      <c r="G63" s="781"/>
      <c r="H63" s="781"/>
      <c r="I63" s="790"/>
      <c r="J63" s="2960"/>
      <c r="K63" s="781"/>
      <c r="L63" s="781"/>
      <c r="M63" s="781"/>
      <c r="N63" s="781"/>
      <c r="O63" s="781"/>
      <c r="P63" s="790"/>
    </row>
    <row r="64" spans="1:16" s="2" customFormat="1">
      <c r="A64" s="1281" t="s">
        <v>1300</v>
      </c>
      <c r="B64" s="1198" t="s">
        <v>259</v>
      </c>
      <c r="C64" s="2962">
        <f t="shared" ref="C64:P64" si="39">IF(AND(C60=0,C61=0),0,C63/((C60+C61+C66)/2))</f>
        <v>0</v>
      </c>
      <c r="D64" s="2958">
        <f t="shared" si="39"/>
        <v>0</v>
      </c>
      <c r="E64" s="2958">
        <f t="shared" si="39"/>
        <v>0</v>
      </c>
      <c r="F64" s="2958">
        <f t="shared" si="39"/>
        <v>0</v>
      </c>
      <c r="G64" s="2958">
        <f t="shared" si="39"/>
        <v>0</v>
      </c>
      <c r="H64" s="2958">
        <f t="shared" si="39"/>
        <v>0</v>
      </c>
      <c r="I64" s="2959">
        <f t="shared" si="39"/>
        <v>0</v>
      </c>
      <c r="J64" s="2962">
        <f t="shared" si="39"/>
        <v>0</v>
      </c>
      <c r="K64" s="2958">
        <f t="shared" si="39"/>
        <v>0</v>
      </c>
      <c r="L64" s="2958">
        <f t="shared" si="39"/>
        <v>0</v>
      </c>
      <c r="M64" s="2958">
        <f t="shared" si="39"/>
        <v>0</v>
      </c>
      <c r="N64" s="2958">
        <f t="shared" si="39"/>
        <v>0</v>
      </c>
      <c r="O64" s="2958">
        <f t="shared" si="39"/>
        <v>0</v>
      </c>
      <c r="P64" s="2959">
        <f t="shared" si="39"/>
        <v>0</v>
      </c>
    </row>
    <row r="65" spans="1:16" s="2" customFormat="1">
      <c r="A65" s="1281" t="s">
        <v>1301</v>
      </c>
      <c r="B65" s="1198" t="s">
        <v>260</v>
      </c>
      <c r="C65" s="1202">
        <f>C62+C63</f>
        <v>0</v>
      </c>
      <c r="D65" s="1203">
        <f t="shared" ref="D65:I65" si="40">D62+D63</f>
        <v>0</v>
      </c>
      <c r="E65" s="1203">
        <f t="shared" si="40"/>
        <v>0</v>
      </c>
      <c r="F65" s="1203">
        <f t="shared" si="40"/>
        <v>0</v>
      </c>
      <c r="G65" s="1203">
        <f t="shared" si="40"/>
        <v>0</v>
      </c>
      <c r="H65" s="1203">
        <f t="shared" si="40"/>
        <v>0</v>
      </c>
      <c r="I65" s="1204">
        <f t="shared" si="40"/>
        <v>0</v>
      </c>
      <c r="J65" s="1202">
        <f>J62+J63</f>
        <v>0</v>
      </c>
      <c r="K65" s="1203">
        <f t="shared" ref="K65:P65" si="41">K62+K63</f>
        <v>0</v>
      </c>
      <c r="L65" s="1203">
        <f t="shared" si="41"/>
        <v>0</v>
      </c>
      <c r="M65" s="1203">
        <f t="shared" si="41"/>
        <v>0</v>
      </c>
      <c r="N65" s="1203">
        <f t="shared" si="41"/>
        <v>0</v>
      </c>
      <c r="O65" s="1203">
        <f t="shared" si="41"/>
        <v>0</v>
      </c>
      <c r="P65" s="1204">
        <f t="shared" si="41"/>
        <v>0</v>
      </c>
    </row>
    <row r="66" spans="1:16" s="2" customFormat="1" ht="13.5" thickBot="1">
      <c r="A66" s="1282" t="s">
        <v>1302</v>
      </c>
      <c r="B66" s="1208" t="s">
        <v>261</v>
      </c>
      <c r="C66" s="1209">
        <f>C60+C61-C62</f>
        <v>0</v>
      </c>
      <c r="D66" s="1210">
        <f t="shared" ref="D66:I66" si="42">D60+D61-D62</f>
        <v>0</v>
      </c>
      <c r="E66" s="1210">
        <f t="shared" si="42"/>
        <v>0</v>
      </c>
      <c r="F66" s="1210">
        <f t="shared" si="42"/>
        <v>0</v>
      </c>
      <c r="G66" s="1210">
        <f t="shared" si="42"/>
        <v>0</v>
      </c>
      <c r="H66" s="1210">
        <f t="shared" si="42"/>
        <v>0</v>
      </c>
      <c r="I66" s="1211">
        <f t="shared" si="42"/>
        <v>0</v>
      </c>
      <c r="J66" s="1209">
        <f>J60+J61-J62</f>
        <v>0</v>
      </c>
      <c r="K66" s="1210">
        <f t="shared" ref="K66:P66" si="43">K60+K61-K62</f>
        <v>0</v>
      </c>
      <c r="L66" s="1210">
        <f t="shared" si="43"/>
        <v>0</v>
      </c>
      <c r="M66" s="1210">
        <f t="shared" si="43"/>
        <v>0</v>
      </c>
      <c r="N66" s="1210">
        <f t="shared" si="43"/>
        <v>0</v>
      </c>
      <c r="O66" s="1210">
        <f t="shared" si="43"/>
        <v>0</v>
      </c>
      <c r="P66" s="1211">
        <f t="shared" si="43"/>
        <v>0</v>
      </c>
    </row>
    <row r="67" spans="1:16" s="2" customFormat="1" ht="24">
      <c r="A67" s="2309" t="s">
        <v>1303</v>
      </c>
      <c r="B67" s="1351" t="s">
        <v>1307</v>
      </c>
      <c r="C67" s="2960"/>
      <c r="D67" s="2911"/>
      <c r="E67" s="2911"/>
      <c r="F67" s="2911"/>
      <c r="G67" s="2911"/>
      <c r="H67" s="2911"/>
      <c r="I67" s="2911"/>
      <c r="J67" s="2960"/>
      <c r="K67" s="2911"/>
      <c r="L67" s="2911"/>
      <c r="M67" s="2911"/>
      <c r="N67" s="2911"/>
      <c r="O67" s="2911"/>
      <c r="P67" s="2912"/>
    </row>
    <row r="68" spans="1:16" s="2" customFormat="1" ht="24">
      <c r="A68" s="2310" t="s">
        <v>1304</v>
      </c>
      <c r="B68" s="1278" t="s">
        <v>1308</v>
      </c>
      <c r="C68" s="2960"/>
      <c r="D68" s="2914"/>
      <c r="E68" s="2914"/>
      <c r="F68" s="2914"/>
      <c r="G68" s="2914"/>
      <c r="H68" s="2914"/>
      <c r="I68" s="2914"/>
      <c r="J68" s="2960"/>
      <c r="K68" s="2914"/>
      <c r="L68" s="2914"/>
      <c r="M68" s="2914"/>
      <c r="N68" s="2914"/>
      <c r="O68" s="2914"/>
      <c r="P68" s="2915"/>
    </row>
    <row r="69" spans="1:16" s="2" customFormat="1" ht="24.75" thickBot="1">
      <c r="A69" s="2311" t="s">
        <v>1305</v>
      </c>
      <c r="B69" s="1279" t="s">
        <v>1309</v>
      </c>
      <c r="C69" s="2960"/>
      <c r="D69" s="2917"/>
      <c r="E69" s="2917"/>
      <c r="F69" s="2917"/>
      <c r="G69" s="2917"/>
      <c r="H69" s="2917"/>
      <c r="I69" s="2917"/>
      <c r="J69" s="2960"/>
      <c r="K69" s="2917"/>
      <c r="L69" s="2917"/>
      <c r="M69" s="2917"/>
      <c r="N69" s="2917"/>
      <c r="O69" s="2917"/>
      <c r="P69" s="2918"/>
    </row>
    <row r="70" spans="1:16" ht="16.5" customHeight="1">
      <c r="B70" s="1212"/>
      <c r="E70" s="1190"/>
      <c r="F70" s="1190"/>
      <c r="G70" s="1190"/>
      <c r="H70" s="1190"/>
      <c r="I70" s="40"/>
    </row>
    <row r="71" spans="1:16">
      <c r="B71" s="43" t="str">
        <f>'9.Инвестиционна програма'!B101</f>
        <v>Дата: 27.08.2018 г.</v>
      </c>
      <c r="G71" s="13"/>
      <c r="I71" s="37"/>
    </row>
    <row r="72" spans="1:16">
      <c r="B72" s="1"/>
      <c r="E72" s="1"/>
      <c r="F72" s="45" t="str">
        <f>'9.Инвестиционна програма'!AC99</f>
        <v>Главен счетоводител:</v>
      </c>
      <c r="G72" s="13" t="s">
        <v>262</v>
      </c>
      <c r="H72" s="2"/>
      <c r="I72" s="5"/>
    </row>
    <row r="73" spans="1:16">
      <c r="B73" s="1"/>
      <c r="E73" s="1"/>
      <c r="F73" s="14"/>
      <c r="H73" s="15" t="s">
        <v>5</v>
      </c>
      <c r="I73" s="5"/>
    </row>
    <row r="74" spans="1:16">
      <c r="B74" s="1"/>
      <c r="E74" s="1"/>
      <c r="F74" s="14"/>
      <c r="H74" s="15"/>
      <c r="I74" s="5"/>
    </row>
    <row r="75" spans="1:16">
      <c r="B75" s="1"/>
      <c r="E75" s="1"/>
      <c r="F75" s="14"/>
      <c r="H75" s="15"/>
      <c r="I75" s="5"/>
    </row>
    <row r="76" spans="1:16">
      <c r="B76" s="1"/>
      <c r="E76" s="1"/>
      <c r="F76" s="46" t="str">
        <f>'9.Инвестиционна програма'!AC105</f>
        <v>Управител:</v>
      </c>
      <c r="G76" s="13" t="s">
        <v>262</v>
      </c>
      <c r="H76" s="5"/>
      <c r="I76" s="5"/>
    </row>
    <row r="77" spans="1:16">
      <c r="B77" s="1"/>
      <c r="E77" s="1"/>
      <c r="F77" s="16"/>
      <c r="H77" s="15" t="s">
        <v>6</v>
      </c>
    </row>
    <row r="80" spans="1:16" ht="27" customHeight="1">
      <c r="A80" s="3542" t="s">
        <v>247</v>
      </c>
      <c r="B80" s="3542"/>
      <c r="C80" s="3542"/>
      <c r="D80" s="3542"/>
      <c r="E80" s="2963"/>
      <c r="F80" s="2963"/>
      <c r="G80" s="2963"/>
      <c r="H80" s="2964"/>
      <c r="I80" s="2964"/>
      <c r="J80" s="2964"/>
      <c r="K80" s="2964"/>
      <c r="L80" s="2964"/>
      <c r="M80" s="2964"/>
      <c r="N80" s="2964"/>
      <c r="O80" s="2964"/>
      <c r="P80" s="2964"/>
    </row>
    <row r="81" spans="1:16">
      <c r="A81" s="3550" t="s">
        <v>248</v>
      </c>
      <c r="B81" s="3550"/>
      <c r="C81" s="3550"/>
      <c r="D81" s="3550"/>
      <c r="E81" s="2965"/>
      <c r="F81" s="2965"/>
      <c r="G81" s="2965"/>
      <c r="H81" s="2966"/>
      <c r="I81" s="2966"/>
      <c r="J81" s="2966"/>
      <c r="K81" s="2966"/>
      <c r="L81" s="2966"/>
      <c r="M81" s="2966"/>
      <c r="N81" s="2966"/>
      <c r="O81" s="2966"/>
      <c r="P81" s="2966"/>
    </row>
    <row r="82" spans="1:16" ht="29.25" customHeight="1">
      <c r="A82" s="3540" t="s">
        <v>1542</v>
      </c>
      <c r="B82" s="3540"/>
      <c r="C82" s="3540"/>
      <c r="D82" s="3540"/>
      <c r="E82" s="3540"/>
      <c r="F82" s="3540"/>
      <c r="G82" s="3540"/>
      <c r="H82" s="3540"/>
      <c r="I82" s="3540"/>
      <c r="J82" s="3540"/>
      <c r="K82" s="3540"/>
      <c r="L82" s="3540"/>
      <c r="M82" s="3540"/>
      <c r="N82" s="3540"/>
      <c r="O82" s="3540"/>
      <c r="P82" s="3540"/>
    </row>
    <row r="83" spans="1:16" ht="21" customHeight="1">
      <c r="A83" s="3408" t="s">
        <v>1543</v>
      </c>
      <c r="B83" s="3408"/>
      <c r="C83" s="3408"/>
      <c r="D83" s="3408"/>
      <c r="E83" s="3408"/>
      <c r="F83" s="3408"/>
      <c r="G83" s="3408"/>
      <c r="H83" s="3408"/>
      <c r="I83" s="3408"/>
      <c r="J83" s="3408"/>
      <c r="K83" s="3408"/>
      <c r="L83" s="3408"/>
      <c r="M83" s="3408"/>
      <c r="N83" s="3408"/>
      <c r="O83" s="3408"/>
      <c r="P83" s="3408"/>
    </row>
    <row r="84" spans="1:16" ht="32.25" customHeight="1">
      <c r="A84" s="3540" t="s">
        <v>1541</v>
      </c>
      <c r="B84" s="3540"/>
      <c r="C84" s="3540"/>
      <c r="D84" s="3540"/>
      <c r="E84" s="3540"/>
      <c r="F84" s="3540"/>
      <c r="G84" s="3540"/>
      <c r="H84" s="3540"/>
      <c r="I84" s="3540"/>
      <c r="J84" s="3540"/>
      <c r="K84" s="3540"/>
      <c r="L84" s="3540"/>
      <c r="M84" s="3540"/>
      <c r="N84" s="3540"/>
      <c r="O84" s="3540"/>
      <c r="P84" s="3540"/>
    </row>
    <row r="85" spans="1:16" ht="22.5" customHeight="1">
      <c r="A85" s="3540" t="s">
        <v>1544</v>
      </c>
      <c r="B85" s="3540"/>
      <c r="C85" s="3540"/>
      <c r="D85" s="3540"/>
      <c r="E85" s="3540"/>
      <c r="F85" s="3540"/>
      <c r="G85" s="3540"/>
      <c r="H85" s="3540"/>
      <c r="I85" s="3540"/>
      <c r="J85" s="3540"/>
      <c r="K85" s="3540"/>
      <c r="L85" s="3540"/>
      <c r="M85" s="3540"/>
      <c r="N85" s="3540"/>
      <c r="O85" s="3540"/>
      <c r="P85" s="3540"/>
    </row>
    <row r="86" spans="1:16">
      <c r="A86" s="3540" t="s">
        <v>1545</v>
      </c>
      <c r="B86" s="3540"/>
      <c r="C86" s="3540"/>
      <c r="D86" s="3540"/>
      <c r="E86" s="3540"/>
      <c r="F86" s="3540"/>
      <c r="G86" s="3540"/>
      <c r="H86" s="3540"/>
      <c r="I86" s="3540"/>
      <c r="J86" s="3540"/>
      <c r="K86" s="3540"/>
      <c r="L86" s="3540"/>
      <c r="M86" s="3540"/>
      <c r="N86" s="3540"/>
      <c r="O86" s="3540"/>
      <c r="P86" s="3540"/>
    </row>
    <row r="87" spans="1:16" ht="21.75" customHeight="1">
      <c r="A87" s="3540" t="s">
        <v>1546</v>
      </c>
      <c r="B87" s="3540"/>
      <c r="C87" s="3540"/>
      <c r="D87" s="3540"/>
      <c r="E87" s="3540"/>
      <c r="F87" s="3540"/>
      <c r="G87" s="3540"/>
      <c r="H87" s="3540"/>
      <c r="I87" s="3540"/>
      <c r="J87" s="3540"/>
      <c r="K87" s="3540"/>
      <c r="L87" s="3540"/>
      <c r="M87" s="3540"/>
      <c r="N87" s="3540"/>
      <c r="O87" s="3540"/>
      <c r="P87" s="3540"/>
    </row>
    <row r="88" spans="1:16" ht="31.5" customHeight="1">
      <c r="A88" s="33"/>
    </row>
  </sheetData>
  <sheetProtection password="C6DB" sheet="1" objects="1" scenarios="1" formatCells="0" formatColumns="0" formatRows="0"/>
  <mergeCells count="30">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 ref="A2:W2"/>
    <mergeCell ref="A3:W3"/>
    <mergeCell ref="A4:W4"/>
    <mergeCell ref="A1:W1"/>
    <mergeCell ref="J34:P34"/>
    <mergeCell ref="Q34:W34"/>
    <mergeCell ref="A6:A7"/>
    <mergeCell ref="A34:A35"/>
    <mergeCell ref="B6:B7"/>
    <mergeCell ref="C6:I6"/>
    <mergeCell ref="C34:I34"/>
    <mergeCell ref="B34:B35"/>
    <mergeCell ref="J6:P6"/>
    <mergeCell ref="Q6:W6"/>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19685039370078741" right="0.19685039370078741" top="0.59055118110236227" bottom="0.19685039370078741" header="0.39370078740157483" footer="0.39370078740157483"/>
  <pageSetup paperSize="9" scale="59" orientation="landscape" r:id="rId1"/>
  <headerFooter alignWithMargins="0">
    <oddFooter>&amp;A&amp;RPage &amp;P</oddFooter>
  </headerFooter>
  <rowBreaks count="1" manualBreakCount="1">
    <brk id="33" max="22" man="1"/>
  </rowBreaks>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E299"/>
  <sheetViews>
    <sheetView view="pageBreakPreview" zoomScale="85" zoomScaleNormal="85" zoomScaleSheetLayoutView="85" workbookViewId="0">
      <pane xSplit="4" ySplit="7" topLeftCell="H8" activePane="bottomRight" state="frozen"/>
      <selection pane="topRight" activeCell="E1" sqref="E1"/>
      <selection pane="bottomLeft" activeCell="A8" sqref="A8"/>
      <selection pane="bottomRight" activeCell="H130" sqref="H130"/>
    </sheetView>
  </sheetViews>
  <sheetFormatPr defaultRowHeight="12.75"/>
  <cols>
    <col min="1" max="1" width="3.28515625" style="1559" customWidth="1"/>
    <col min="2" max="2" width="8.42578125" style="1560" customWidth="1"/>
    <col min="3" max="3" width="6.28515625" style="1560" customWidth="1"/>
    <col min="4" max="4" width="39.28515625" style="1560" customWidth="1"/>
    <col min="5" max="5" width="8.28515625" style="1559" bestFit="1" customWidth="1"/>
    <col min="6" max="6" width="8.28515625" style="1560" bestFit="1" customWidth="1"/>
    <col min="7" max="11" width="8.42578125" style="1560" customWidth="1"/>
    <col min="12" max="12" width="7.7109375" style="1559" customWidth="1"/>
    <col min="13" max="18" width="7.7109375" style="1560" customWidth="1"/>
    <col min="19" max="19" width="7.7109375" style="1559" customWidth="1"/>
    <col min="20" max="20" width="7.7109375" style="1560" customWidth="1"/>
    <col min="21" max="25" width="8.5703125" style="1560" customWidth="1"/>
    <col min="26" max="26" width="1.42578125" style="1562" customWidth="1"/>
    <col min="27" max="27" width="8.28515625" style="1560" customWidth="1"/>
    <col min="28" max="28" width="9.140625" style="1560"/>
    <col min="29" max="16384" width="9.140625" style="1562"/>
  </cols>
  <sheetData>
    <row r="1" spans="1:31" ht="13.5">
      <c r="F1" s="1561"/>
      <c r="Y1" s="2900" t="s">
        <v>249</v>
      </c>
      <c r="AA1" s="1563"/>
      <c r="AB1" s="1563"/>
    </row>
    <row r="2" spans="1:31" ht="35.25" customHeight="1">
      <c r="A2" s="3562" t="s">
        <v>878</v>
      </c>
      <c r="B2" s="3562"/>
      <c r="C2" s="3562"/>
      <c r="D2" s="3562"/>
      <c r="E2" s="3562"/>
      <c r="F2" s="3562"/>
      <c r="G2" s="3562"/>
      <c r="H2" s="3562"/>
      <c r="I2" s="3562"/>
      <c r="J2" s="3562"/>
      <c r="K2" s="3562"/>
      <c r="L2" s="3562"/>
      <c r="M2" s="3562"/>
      <c r="N2" s="3562"/>
      <c r="O2" s="3562"/>
      <c r="P2" s="3562"/>
      <c r="Q2" s="3562"/>
      <c r="R2" s="3562"/>
      <c r="S2" s="3562"/>
      <c r="T2" s="3562"/>
      <c r="U2" s="3562"/>
      <c r="V2" s="3562"/>
      <c r="W2" s="3562"/>
      <c r="X2" s="3562"/>
      <c r="Y2" s="3562"/>
      <c r="Z2" s="1564"/>
      <c r="AA2" s="1563"/>
      <c r="AB2" s="1563"/>
    </row>
    <row r="3" spans="1:31" ht="15.75">
      <c r="A3" s="3561" t="str">
        <f>'1. Анкетна карта'!A3:J3</f>
        <v>на "Водоснабдяване и канализация" ЕООД , гр. Благоевград</v>
      </c>
      <c r="B3" s="3561"/>
      <c r="C3" s="3561"/>
      <c r="D3" s="3561"/>
      <c r="E3" s="3561"/>
      <c r="F3" s="3561"/>
      <c r="G3" s="3561"/>
      <c r="H3" s="3561"/>
      <c r="I3" s="3561"/>
      <c r="J3" s="3561"/>
      <c r="K3" s="3561"/>
      <c r="L3" s="3561"/>
      <c r="M3" s="3561"/>
      <c r="N3" s="3561"/>
      <c r="O3" s="3561"/>
      <c r="P3" s="3561"/>
      <c r="Q3" s="3561"/>
      <c r="R3" s="3561"/>
      <c r="S3" s="3561"/>
      <c r="T3" s="3561"/>
      <c r="U3" s="3561"/>
      <c r="V3" s="3561"/>
      <c r="W3" s="3561"/>
      <c r="X3" s="3561"/>
      <c r="Y3" s="3561"/>
      <c r="Z3" s="1565"/>
      <c r="AA3" s="1566"/>
      <c r="AB3" s="1565"/>
      <c r="AC3" s="1565"/>
      <c r="AD3" s="1565"/>
      <c r="AE3" s="1565"/>
    </row>
    <row r="4" spans="1:31" ht="15.75">
      <c r="A4" s="3561" t="str">
        <f>'1. Анкетна карта'!A4:J4</f>
        <v>ЕИК по БУЛСТАТ: 811047831</v>
      </c>
      <c r="B4" s="3561"/>
      <c r="C4" s="3561"/>
      <c r="D4" s="3561"/>
      <c r="E4" s="3561"/>
      <c r="F4" s="3561"/>
      <c r="G4" s="3561"/>
      <c r="H4" s="3561"/>
      <c r="I4" s="3561"/>
      <c r="J4" s="3561"/>
      <c r="K4" s="3561"/>
      <c r="L4" s="3561"/>
      <c r="M4" s="3561"/>
      <c r="N4" s="3561"/>
      <c r="O4" s="3561"/>
      <c r="P4" s="3561"/>
      <c r="Q4" s="3561"/>
      <c r="R4" s="3561"/>
      <c r="S4" s="3561"/>
      <c r="T4" s="3561"/>
      <c r="U4" s="3561"/>
      <c r="V4" s="3561"/>
      <c r="W4" s="3561"/>
      <c r="X4" s="3561"/>
      <c r="Y4" s="3561"/>
      <c r="Z4" s="1565"/>
      <c r="AA4" s="1566"/>
      <c r="AB4" s="1565"/>
      <c r="AC4" s="1565"/>
      <c r="AD4" s="1565"/>
      <c r="AE4" s="1565"/>
    </row>
    <row r="5" spans="1:31" ht="16.5" thickBot="1">
      <c r="A5" s="1567"/>
      <c r="B5" s="1567"/>
      <c r="C5" s="1567"/>
      <c r="D5" s="1567"/>
      <c r="E5" s="1567"/>
      <c r="F5" s="1567"/>
      <c r="G5" s="1567"/>
      <c r="H5" s="1567"/>
      <c r="I5" s="1567"/>
      <c r="J5" s="1567"/>
      <c r="K5" s="1567"/>
      <c r="L5" s="1567"/>
      <c r="M5" s="1567"/>
      <c r="N5" s="1567"/>
      <c r="O5" s="1567"/>
      <c r="P5" s="1567"/>
      <c r="Q5" s="1567"/>
      <c r="R5" s="1567"/>
      <c r="S5" s="1567"/>
      <c r="T5" s="1567"/>
      <c r="U5" s="1567"/>
      <c r="V5" s="1567"/>
      <c r="W5" s="1567"/>
      <c r="X5" s="1567"/>
      <c r="Y5" s="1567"/>
      <c r="Z5" s="1565"/>
      <c r="AA5" s="1566"/>
      <c r="AB5" s="1565"/>
      <c r="AC5" s="1565"/>
      <c r="AD5" s="1565"/>
      <c r="AE5" s="1565"/>
    </row>
    <row r="6" spans="1:31" ht="13.5" customHeight="1" thickBot="1">
      <c r="A6" s="3563" t="s">
        <v>1</v>
      </c>
      <c r="B6" s="3567" t="s">
        <v>1489</v>
      </c>
      <c r="C6" s="3567" t="s">
        <v>1488</v>
      </c>
      <c r="D6" s="3563" t="s">
        <v>95</v>
      </c>
      <c r="E6" s="3563" t="s">
        <v>273</v>
      </c>
      <c r="F6" s="3565"/>
      <c r="G6" s="3565"/>
      <c r="H6" s="3565"/>
      <c r="I6" s="3565"/>
      <c r="J6" s="3565"/>
      <c r="K6" s="3566"/>
      <c r="L6" s="3563" t="s">
        <v>230</v>
      </c>
      <c r="M6" s="3565"/>
      <c r="N6" s="3565"/>
      <c r="O6" s="3565"/>
      <c r="P6" s="3565"/>
      <c r="Q6" s="3565"/>
      <c r="R6" s="3566"/>
      <c r="S6" s="3563" t="s">
        <v>241</v>
      </c>
      <c r="T6" s="3565"/>
      <c r="U6" s="3565"/>
      <c r="V6" s="3565"/>
      <c r="W6" s="3565"/>
      <c r="X6" s="3565"/>
      <c r="Y6" s="3566"/>
      <c r="Z6" s="1568"/>
      <c r="AA6" s="3558" t="s">
        <v>912</v>
      </c>
      <c r="AB6" s="1562"/>
    </row>
    <row r="7" spans="1:31" ht="21" customHeight="1" thickBot="1">
      <c r="A7" s="3564"/>
      <c r="B7" s="3568"/>
      <c r="C7" s="3568"/>
      <c r="D7" s="3564"/>
      <c r="E7" s="1155" t="str">
        <f>'Приложение '!G12</f>
        <v>2015 г.</v>
      </c>
      <c r="F7" s="1569" t="str">
        <f>'Приложение '!G13</f>
        <v>2016 г.</v>
      </c>
      <c r="G7" s="1570" t="str">
        <f>'Приложение '!G14</f>
        <v>2017 г.</v>
      </c>
      <c r="H7" s="1570" t="str">
        <f>'Приложение '!G15</f>
        <v>2018 г.</v>
      </c>
      <c r="I7" s="1570" t="str">
        <f>'Приложение '!G16</f>
        <v>2019 г.</v>
      </c>
      <c r="J7" s="1570" t="str">
        <f>'Приложение '!G17</f>
        <v>2020 г.</v>
      </c>
      <c r="K7" s="1571" t="str">
        <f>'Приложение '!G18</f>
        <v>2021 г.</v>
      </c>
      <c r="L7" s="1155" t="str">
        <f>E7</f>
        <v>2015 г.</v>
      </c>
      <c r="M7" s="1569" t="str">
        <f>F7</f>
        <v>2016 г.</v>
      </c>
      <c r="N7" s="1570" t="str">
        <f>G7</f>
        <v>2017 г.</v>
      </c>
      <c r="O7" s="1570" t="str">
        <f>H7</f>
        <v>2018 г.</v>
      </c>
      <c r="P7" s="1572" t="str">
        <f>I7</f>
        <v>2019 г.</v>
      </c>
      <c r="Q7" s="1570" t="str">
        <f t="shared" ref="Q7:Y7" si="0">J7</f>
        <v>2020 г.</v>
      </c>
      <c r="R7" s="1571" t="str">
        <f t="shared" si="0"/>
        <v>2021 г.</v>
      </c>
      <c r="S7" s="1160" t="str">
        <f t="shared" si="0"/>
        <v>2015 г.</v>
      </c>
      <c r="T7" s="1572" t="str">
        <f t="shared" si="0"/>
        <v>2016 г.</v>
      </c>
      <c r="U7" s="1570" t="str">
        <f t="shared" si="0"/>
        <v>2017 г.</v>
      </c>
      <c r="V7" s="1570" t="str">
        <f t="shared" si="0"/>
        <v>2018 г.</v>
      </c>
      <c r="W7" s="1572" t="str">
        <f t="shared" si="0"/>
        <v>2019 г.</v>
      </c>
      <c r="X7" s="1570" t="str">
        <f t="shared" si="0"/>
        <v>2020 г.</v>
      </c>
      <c r="Y7" s="1571" t="str">
        <f t="shared" si="0"/>
        <v>2021 г.</v>
      </c>
      <c r="Z7" s="1568"/>
      <c r="AA7" s="3559"/>
      <c r="AB7" s="1562"/>
    </row>
    <row r="8" spans="1:31" ht="15" thickBot="1">
      <c r="A8" s="1573" t="s">
        <v>574</v>
      </c>
      <c r="B8" s="1573"/>
      <c r="C8" s="1573"/>
      <c r="D8" s="1574" t="s">
        <v>575</v>
      </c>
      <c r="E8" s="1575"/>
      <c r="F8" s="1576"/>
      <c r="G8" s="1577"/>
      <c r="H8" s="1578"/>
      <c r="I8" s="1577"/>
      <c r="J8" s="1577"/>
      <c r="K8" s="1579"/>
      <c r="L8" s="1580"/>
      <c r="M8" s="1581"/>
      <c r="N8" s="1577"/>
      <c r="O8" s="1577"/>
      <c r="P8" s="1577"/>
      <c r="Q8" s="1577"/>
      <c r="R8" s="1579"/>
      <c r="S8" s="1575"/>
      <c r="T8" s="1576"/>
      <c r="U8" s="1577"/>
      <c r="V8" s="1577"/>
      <c r="W8" s="1577"/>
      <c r="X8" s="1577"/>
      <c r="Y8" s="1579"/>
      <c r="Z8" s="1582"/>
      <c r="AA8" s="1583"/>
      <c r="AB8" s="1584"/>
    </row>
    <row r="9" spans="1:31" ht="13.5" thickBot="1">
      <c r="A9" s="1585" t="s">
        <v>268</v>
      </c>
      <c r="B9" s="1586"/>
      <c r="C9" s="1586"/>
      <c r="D9" s="1586" t="s">
        <v>483</v>
      </c>
      <c r="E9" s="2314">
        <f t="shared" ref="E9:Y9" si="1">SUM(E10:E33)-E12-E18</f>
        <v>7543</v>
      </c>
      <c r="F9" s="241">
        <f t="shared" si="1"/>
        <v>7606</v>
      </c>
      <c r="G9" s="242">
        <f t="shared" si="1"/>
        <v>7770.10800385728</v>
      </c>
      <c r="H9" s="242">
        <f t="shared" si="1"/>
        <v>8173.4581298018647</v>
      </c>
      <c r="I9" s="242">
        <f t="shared" si="1"/>
        <v>8408.8746057744029</v>
      </c>
      <c r="J9" s="242">
        <f t="shared" si="1"/>
        <v>8830.2246195980151</v>
      </c>
      <c r="K9" s="243">
        <f t="shared" si="1"/>
        <v>9068.2283195643795</v>
      </c>
      <c r="L9" s="648">
        <f t="shared" si="1"/>
        <v>1365</v>
      </c>
      <c r="M9" s="241">
        <f t="shared" si="1"/>
        <v>1433</v>
      </c>
      <c r="N9" s="242">
        <f t="shared" si="1"/>
        <v>2203.0135004821605</v>
      </c>
      <c r="O9" s="242">
        <f t="shared" si="1"/>
        <v>2240.1041805829154</v>
      </c>
      <c r="P9" s="242">
        <f t="shared" si="1"/>
        <v>2299.8631432068669</v>
      </c>
      <c r="Q9" s="242">
        <f t="shared" si="1"/>
        <v>2688.2322336132811</v>
      </c>
      <c r="R9" s="243">
        <f t="shared" si="1"/>
        <v>2846.7909285342357</v>
      </c>
      <c r="S9" s="648">
        <f t="shared" si="1"/>
        <v>65</v>
      </c>
      <c r="T9" s="241">
        <f t="shared" si="1"/>
        <v>89</v>
      </c>
      <c r="U9" s="242">
        <f t="shared" si="1"/>
        <v>108.87849566055931</v>
      </c>
      <c r="V9" s="242">
        <f t="shared" si="1"/>
        <v>273.43768961521926</v>
      </c>
      <c r="W9" s="242">
        <f t="shared" si="1"/>
        <v>323.26225101872808</v>
      </c>
      <c r="X9" s="242">
        <f t="shared" si="1"/>
        <v>365.54314678870321</v>
      </c>
      <c r="Y9" s="243">
        <f t="shared" si="1"/>
        <v>421.98075190138411</v>
      </c>
      <c r="Z9" s="1587"/>
      <c r="AA9" s="2901">
        <f>((K9-E9)+(R9-L9)+(Y9-S9)+(K110-E110)+(R110-L110)+(Y110-S110))-('9.Инвестиционна програма'!L86+'9.Инвестиционна програма'!F86)*'11.1.Амортиз.нови активи'!E5</f>
        <v>0</v>
      </c>
      <c r="AB9" s="1562"/>
    </row>
    <row r="10" spans="1:31">
      <c r="A10" s="1589">
        <v>1</v>
      </c>
      <c r="B10" s="1590">
        <v>20101</v>
      </c>
      <c r="C10" s="1591">
        <v>0</v>
      </c>
      <c r="D10" s="2312" t="s">
        <v>758</v>
      </c>
      <c r="E10" s="2168">
        <v>323</v>
      </c>
      <c r="F10" s="1978">
        <f>E10+SUMIF('11.1.Амортиз.нови активи'!$B$11:$B$58,$B10,'11.1.Амортиз.нови активи'!F$11:F$58)+('9.Инвестиционна програма'!F$77*SUMIF('11.1.Амортиз.нови активи'!$B$11:$B$58,$B10,'11.1.Амортиз.нови активи'!AA$11:AA$58))</f>
        <v>323</v>
      </c>
      <c r="G10" s="884">
        <f>F10+SUMIF('11.1.Амортиз.нови активи'!$B$11:$B$58,$B10,'11.1.Амортиз.нови активи'!G$11:G$58)+('9.Инвестиционна програма'!G$77*SUMIF('11.1.Амортиз.нови активи'!$B$11:$B$58,$B10,'11.1.Амортиз.нови активи'!AB$11:AB$58))</f>
        <v>323</v>
      </c>
      <c r="H10" s="884">
        <f>G10+SUMIF('11.1.Амортиз.нови активи'!$B$11:$B$58,$B10,'11.1.Амортиз.нови активи'!H$11:H$58)+('9.Инвестиционна програма'!H$77*SUMIF('11.1.Амортиз.нови активи'!$B$11:$B$58,$B10,'11.1.Амортиз.нови активи'!AC$11:AC$58))</f>
        <v>323</v>
      </c>
      <c r="I10" s="884">
        <f>H10+SUMIF('11.1.Амортиз.нови активи'!$B$11:$B$58,$B10,'11.1.Амортиз.нови активи'!I$11:I$58)+('9.Инвестиционна програма'!I$77*SUMIF('11.1.Амортиз.нови активи'!$B$11:$B$58,$B10,'11.1.Амортиз.нови активи'!AD$11:AD$58))</f>
        <v>323</v>
      </c>
      <c r="J10" s="884">
        <f>I10+SUMIF('11.1.Амортиз.нови активи'!$B$11:$B$58,$B10,'11.1.Амортиз.нови активи'!J$11:J$58)+('9.Инвестиционна програма'!J$77*SUMIF('11.1.Амортиз.нови активи'!$B$11:$B$58,$B10,'11.1.Амортиз.нови активи'!AE$11:AE$58))</f>
        <v>323</v>
      </c>
      <c r="K10" s="885">
        <f>J10+SUMIF('11.1.Амортиз.нови активи'!$B$11:$B$58,$B10,'11.1.Амортиз.нови активи'!K$11:K$58)+('9.Инвестиционна програма'!K$77*SUMIF('11.1.Амортиз.нови активи'!$B$11:$B$58,$B10,'11.1.Амортиз.нови активи'!AF$11:AF$58))</f>
        <v>323</v>
      </c>
      <c r="L10" s="2168">
        <v>63</v>
      </c>
      <c r="M10" s="883">
        <f>L10+SUMIF('11.1.Амортиз.нови активи'!$B$11:$B$58,$B10,'11.1.Амортиз.нови активи'!M$11:M$58)+('9.Инвестиционна програма'!F$78*SUMIF('11.1.Амортиз.нови активи'!$B$11:$B$58,$B10,'11.1.Амортиз.нови активи'!AA$11:AA$58))</f>
        <v>63</v>
      </c>
      <c r="N10" s="884">
        <f>M10+SUMIF('11.1.Амортиз.нови активи'!$B$11:$B$58,$B10,'11.1.Амортиз.нови активи'!N$11:N$58)+('9.Инвестиционна програма'!G$78*SUMIF('11.1.Амортиз.нови активи'!$B$11:$B$58,$B10,'11.1.Амортиз.нови активи'!AB$11:AB$58))</f>
        <v>63</v>
      </c>
      <c r="O10" s="884">
        <f>N10+SUMIF('11.1.Амортиз.нови активи'!$B$11:$B$58,$B10,'11.1.Амортиз.нови активи'!O$11:O$58)+('9.Инвестиционна програма'!H$78*SUMIF('11.1.Амортиз.нови активи'!$B$11:$B$58,$B10,'11.1.Амортиз.нови активи'!AC$11:AC$58))</f>
        <v>63</v>
      </c>
      <c r="P10" s="884">
        <f>O10+SUMIF('11.1.Амортиз.нови активи'!$B$11:$B$58,$B10,'11.1.Амортиз.нови активи'!P$11:P$58)+('9.Инвестиционна програма'!I$78*SUMIF('11.1.Амортиз.нови активи'!$B$11:$B$58,$B10,'11.1.Амортиз.нови активи'!AD$11:AD$58))</f>
        <v>63</v>
      </c>
      <c r="Q10" s="884">
        <f>P10+SUMIF('11.1.Амортиз.нови активи'!$B$11:$B$58,$B10,'11.1.Амортиз.нови активи'!Q$11:Q$58)+('9.Инвестиционна програма'!J$78*SUMIF('11.1.Амортиз.нови активи'!$B$11:$B$58,$B10,'11.1.Амортиз.нови активи'!AE$11:AE$58))</f>
        <v>63</v>
      </c>
      <c r="R10" s="885">
        <f>Q10+SUMIF('11.1.Амортиз.нови активи'!$B$11:$B$58,$B10,'11.1.Амортиз.нови активи'!R$11:R$58)+('9.Инвестиционна програма'!K$78*SUMIF('11.1.Амортиз.нови активи'!$B$11:$B$58,$B10,'11.1.Амортиз.нови активи'!AF$11:AF$58))</f>
        <v>63</v>
      </c>
      <c r="S10" s="2168">
        <v>3</v>
      </c>
      <c r="T10" s="883">
        <f>S10+SUMIF('11.1.Амортиз.нови активи'!$B$11:$B$58,$B10,'11.1.Амортиз.нови активи'!T$11:T$58)+('9.Инвестиционна програма'!F$79*SUMIF('11.1.Амортиз.нови активи'!$B$11:$B$58,$B10,'11.1.Амортиз.нови активи'!AA$11:AA$58))</f>
        <v>3</v>
      </c>
      <c r="U10" s="884">
        <f>T10+SUMIF('11.1.Амортиз.нови активи'!$B$11:$B$58,$B10,'11.1.Амортиз.нови активи'!U$11:U$58)+('9.Инвестиционна програма'!G$79*SUMIF('11.1.Амортиз.нови активи'!$B$11:$B$58,$B10,'11.1.Амортиз.нови активи'!AB$11:AB$58))</f>
        <v>3</v>
      </c>
      <c r="V10" s="884">
        <f>U10+SUMIF('11.1.Амортиз.нови активи'!$B$11:$B$58,$B10,'11.1.Амортиз.нови активи'!V$11:V$58)+('9.Инвестиционна програма'!H$79*SUMIF('11.1.Амортиз.нови активи'!$B$11:$B$58,$B10,'11.1.Амортиз.нови активи'!AC$11:AC$58))</f>
        <v>3</v>
      </c>
      <c r="W10" s="884">
        <f>V10+SUMIF('11.1.Амортиз.нови активи'!$B$11:$B$58,$B10,'11.1.Амортиз.нови активи'!W$11:W$58)+('9.Инвестиционна програма'!I$79*SUMIF('11.1.Амортиз.нови активи'!$B$11:$B$58,$B10,'11.1.Амортиз.нови активи'!AD$11:AD$58))</f>
        <v>3</v>
      </c>
      <c r="X10" s="884">
        <f>W10+SUMIF('11.1.Амортиз.нови активи'!$B$11:$B$58,$B10,'11.1.Амортиз.нови активи'!X$11:X$58)+('9.Инвестиционна програма'!J$79*SUMIF('11.1.Амортиз.нови активи'!$B$11:$B$58,$B10,'11.1.Амортиз.нови активи'!AE$11:AE$58))</f>
        <v>3</v>
      </c>
      <c r="Y10" s="885">
        <f>X10+SUMIF('11.1.Амортиз.нови активи'!$B$11:$B$58,$B10,'11.1.Амортиз.нови активи'!Y$11:Y$58)+('9.Инвестиционна програма'!K$79*SUMIF('11.1.Амортиз.нови активи'!$B$11:$B$58,$B10,'11.1.Амортиз.нови активи'!AF$11:AF$58))</f>
        <v>3</v>
      </c>
      <c r="Z10" s="1592"/>
      <c r="AA10" s="1593"/>
      <c r="AB10" s="1562"/>
    </row>
    <row r="11" spans="1:31">
      <c r="A11" s="1594">
        <v>2</v>
      </c>
      <c r="B11" s="1595">
        <v>20201</v>
      </c>
      <c r="C11" s="1596">
        <v>0.03</v>
      </c>
      <c r="D11" s="2313" t="s">
        <v>597</v>
      </c>
      <c r="E11" s="2169">
        <v>978</v>
      </c>
      <c r="F11" s="933">
        <f>E11+SUMIF('11.1.Амортиз.нови активи'!$B$11:$B$58,$B11,'11.1.Амортиз.нови активи'!F$11:F$58)+('9.Инвестиционна програма'!F$77*SUMIF('11.1.Амортиз.нови активи'!$B$11:$B$58,$B11,'11.1.Амортиз.нови активи'!AA$11:AA$58))</f>
        <v>978</v>
      </c>
      <c r="G11" s="887">
        <f>F11+SUMIF('11.1.Амортиз.нови активи'!$B$11:$B$58,$B11,'11.1.Амортиз.нови активи'!G$11:G$58)+('9.Инвестиционна програма'!G$77*SUMIF('11.1.Амортиз.нови активи'!$B$11:$B$58,$B11,'11.1.Амортиз.нови активи'!AB$11:AB$58))</f>
        <v>1059.4079074252652</v>
      </c>
      <c r="H11" s="887">
        <f>G11+SUMIF('11.1.Амортиз.нови активи'!$B$11:$B$58,$B11,'11.1.Амортиз.нови активи'!H$11:H$58)+('9.Инвестиционна програма'!H$77*SUMIF('11.1.Амортиз.нови активи'!$B$11:$B$58,$B11,'11.1.Амортиз.нови активи'!AC$11:AC$58))</f>
        <v>1309.5943054101517</v>
      </c>
      <c r="I11" s="887">
        <f>H11+SUMIF('11.1.Амортиз.нови активи'!$B$11:$B$58,$B11,'11.1.Амортиз.нови активи'!I$11:I$58)+('9.Инвестиционна програма'!I$77*SUMIF('11.1.Амортиз.нови активи'!$B$11:$B$58,$B11,'11.1.Амортиз.нови активи'!AD$11:AD$58))</f>
        <v>1345.6927035794881</v>
      </c>
      <c r="J11" s="887">
        <f>I11+SUMIF('11.1.Амортиз.нови активи'!$B$11:$B$58,$B11,'11.1.Амортиз.нови активи'!J$11:J$58)+('9.Инвестиционна програма'!J$77*SUMIF('11.1.Амортиз.нови активи'!$B$11:$B$58,$B11,'11.1.Амортиз.нови активи'!AE$11:AE$58))</f>
        <v>1391.7336214672405</v>
      </c>
      <c r="K11" s="888">
        <f>J11+SUMIF('11.1.Амортиз.нови активи'!$B$11:$B$58,$B11,'11.1.Амортиз.нови активи'!K$11:K$58)+('9.Инвестиционна програма'!K$77*SUMIF('11.1.Амортиз.нови активи'!$B$11:$B$58,$B11,'11.1.Амортиз.нови активи'!AF$11:AF$58))</f>
        <v>1458.1648357289291</v>
      </c>
      <c r="L11" s="2169">
        <v>159</v>
      </c>
      <c r="M11" s="886">
        <f>L11+SUMIF('11.1.Амортиз.нови активи'!$B$11:$B$58,$B11,'11.1.Амортиз.нови активи'!M$11:M$58)+('9.Инвестиционна програма'!F$78*SUMIF('11.1.Амортиз.нови активи'!$B$11:$B$58,$B11,'11.1.Амортиз.нови активи'!AA$11:AA$58))</f>
        <v>159</v>
      </c>
      <c r="N11" s="887">
        <f>M11+SUMIF('11.1.Амортиз.нови активи'!$B$11:$B$58,$B11,'11.1.Амортиз.нови активи'!N$11:N$58)+('9.Инвестиционна програма'!G$78*SUMIF('11.1.Амортиз.нови активи'!$B$11:$B$58,$B11,'11.1.Амортиз.нови активи'!AB$11:AB$58))</f>
        <v>200.67598842815815</v>
      </c>
      <c r="O11" s="887">
        <f>N11+SUMIF('11.1.Амортиз.нови активи'!$B$11:$B$58,$B11,'11.1.Амортиз.нови активи'!O$11:O$58)+('9.Инвестиционна програма'!H$78*SUMIF('11.1.Амортиз.нови активи'!$B$11:$B$58,$B11,'11.1.Амортиз.нови активи'!AC$11:AC$58))</f>
        <v>224.88253754654608</v>
      </c>
      <c r="P11" s="887">
        <f>O11+SUMIF('11.1.Амортиз.нови активи'!$B$11:$B$58,$B11,'11.1.Амортиз.нови активи'!P$11:P$58)+('9.Инвестиционна програма'!I$78*SUMIF('11.1.Амортиз.нови активи'!$B$11:$B$58,$B11,'11.1.Амортиз.нови активи'!AD$11:AD$58))</f>
        <v>236.59115692106934</v>
      </c>
      <c r="Q11" s="887">
        <f>P11+SUMIF('11.1.Амортиз.нови активи'!$B$11:$B$58,$B11,'11.1.Амортиз.нови активи'!Q$11:Q$58)+('9.Инвестиционна програма'!J$78*SUMIF('11.1.Амортиз.нови активи'!$B$11:$B$58,$B11,'11.1.Амортиз.нови активи'!AE$11:AE$58))</f>
        <v>259.09875990696924</v>
      </c>
      <c r="R11" s="888">
        <f>Q11+SUMIF('11.1.Амортиз.нови активи'!$B$11:$B$58,$B11,'11.1.Амортиз.нови активи'!R$11:R$58)+('9.Инвестиционна програма'!K$78*SUMIF('11.1.Амортиз.нови активи'!$B$11:$B$58,$B11,'11.1.Амортиз.нови активи'!AF$11:AF$58))</f>
        <v>290.21211342193726</v>
      </c>
      <c r="S11" s="2169">
        <v>8</v>
      </c>
      <c r="T11" s="886">
        <f>S11+SUMIF('11.1.Амортиз.нови активи'!$B$11:$B$58,$B11,'11.1.Амортиз.нови активи'!T$11:T$58)+('9.Инвестиционна програма'!F$79*SUMIF('11.1.Амортиз.нови активи'!$B$11:$B$58,$B11,'11.1.Амортиз.нови активи'!AA$11:AA$58))</f>
        <v>8</v>
      </c>
      <c r="U11" s="887">
        <f>T11+SUMIF('11.1.Амортиз.нови активи'!$B$11:$B$58,$B11,'11.1.Амортиз.нови активи'!U$11:U$58)+('9.Инвестиционна програма'!G$79*SUMIF('11.1.Амортиз.нови активи'!$B$11:$B$58,$B11,'11.1.Амортиз.нови активи'!AB$11:AB$58))</f>
        <v>10.916104146576664</v>
      </c>
      <c r="V11" s="887">
        <f>U11+SUMIF('11.1.Амортиз.нови активи'!$B$11:$B$58,$B11,'11.1.Амортиз.нови активи'!V$11:V$58)+('9.Инвестиционна програма'!H$79*SUMIF('11.1.Амортиз.нови активи'!$B$11:$B$58,$B11,'11.1.Амортиз.нови активи'!AC$11:AC$58))</f>
        <v>46.523157043302106</v>
      </c>
      <c r="W11" s="887">
        <f>V11+SUMIF('11.1.Амортиз.нови активи'!$B$11:$B$58,$B11,'11.1.Амортиз.нови активи'!W$11:W$58)+('9.Инвестиционна програма'!I$79*SUMIF('11.1.Амортиз.нови активи'!$B$11:$B$58,$B11,'11.1.Амортиз.нови активи'!AD$11:AD$58))</f>
        <v>48.716139499442455</v>
      </c>
      <c r="X11" s="887">
        <f>W11+SUMIF('11.1.Амортиз.нови активи'!$B$11:$B$58,$B11,'11.1.Амортиз.нови активи'!X$11:X$58)+('9.Инвестиционна програма'!J$79*SUMIF('11.1.Амортиз.нови активи'!$B$11:$B$58,$B11,'11.1.Амортиз.нови активи'!AE$11:AE$58))</f>
        <v>50.167618625790254</v>
      </c>
      <c r="Y11" s="888">
        <f>X11+SUMIF('11.1.Амортиз.нови активи'!$B$11:$B$58,$B11,'11.1.Амортиз.нови активи'!Y$11:Y$58)+('9.Инвестиционна програма'!K$79*SUMIF('11.1.Амортиз.нови активи'!$B$11:$B$58,$B11,'11.1.Амортиз.нови активи'!AF$11:AF$58))</f>
        <v>52.623050849133676</v>
      </c>
      <c r="Z11" s="1592"/>
      <c r="AA11" s="1597"/>
      <c r="AB11" s="1562"/>
    </row>
    <row r="12" spans="1:31" ht="25.5" customHeight="1">
      <c r="A12" s="1594">
        <v>3</v>
      </c>
      <c r="B12" s="1595">
        <v>203</v>
      </c>
      <c r="C12" s="1596"/>
      <c r="D12" s="2315" t="s">
        <v>577</v>
      </c>
      <c r="E12" s="1981">
        <f>SUM(E13:E16)</f>
        <v>2171</v>
      </c>
      <c r="F12" s="963">
        <f>SUM(F13:F16)</f>
        <v>2234</v>
      </c>
      <c r="G12" s="959">
        <f t="shared" ref="G12:Y12" si="2">SUM(G13:G16)</f>
        <v>2234</v>
      </c>
      <c r="H12" s="959">
        <f t="shared" si="2"/>
        <v>2254</v>
      </c>
      <c r="I12" s="959">
        <f t="shared" si="2"/>
        <v>2350</v>
      </c>
      <c r="J12" s="959">
        <f t="shared" si="2"/>
        <v>2669</v>
      </c>
      <c r="K12" s="962">
        <f t="shared" si="2"/>
        <v>2784</v>
      </c>
      <c r="L12" s="1981">
        <f>SUM(L13:L16)</f>
        <v>323</v>
      </c>
      <c r="M12" s="963">
        <f t="shared" si="2"/>
        <v>391</v>
      </c>
      <c r="N12" s="959">
        <f t="shared" si="2"/>
        <v>1077</v>
      </c>
      <c r="O12" s="959">
        <f t="shared" si="2"/>
        <v>1077</v>
      </c>
      <c r="P12" s="959">
        <f t="shared" si="2"/>
        <v>1081</v>
      </c>
      <c r="Q12" s="959">
        <f t="shared" si="2"/>
        <v>1307</v>
      </c>
      <c r="R12" s="959">
        <f t="shared" si="2"/>
        <v>1422</v>
      </c>
      <c r="S12" s="1981">
        <f>SUM(S13:S16)</f>
        <v>30</v>
      </c>
      <c r="T12" s="963">
        <f t="shared" si="2"/>
        <v>54</v>
      </c>
      <c r="U12" s="959">
        <f t="shared" si="2"/>
        <v>68</v>
      </c>
      <c r="V12" s="959">
        <f t="shared" si="2"/>
        <v>108</v>
      </c>
      <c r="W12" s="959">
        <f t="shared" si="2"/>
        <v>153</v>
      </c>
      <c r="X12" s="959">
        <f t="shared" si="2"/>
        <v>193</v>
      </c>
      <c r="Y12" s="962">
        <f t="shared" si="2"/>
        <v>246</v>
      </c>
      <c r="Z12" s="1592"/>
      <c r="AA12" s="1599"/>
      <c r="AB12" s="1562"/>
    </row>
    <row r="13" spans="1:31" s="1602" customFormat="1">
      <c r="A13" s="1594"/>
      <c r="B13" s="1595">
        <v>20301</v>
      </c>
      <c r="C13" s="1600">
        <v>0.1</v>
      </c>
      <c r="D13" s="2316" t="s">
        <v>599</v>
      </c>
      <c r="E13" s="2169">
        <v>275</v>
      </c>
      <c r="F13" s="933">
        <f>E13+SUMIF('11.1.Амортиз.нови активи'!$B$11:$B$58,$B13,'11.1.Амортиз.нови активи'!F$11:F$58)+('9.Инвестиционна програма'!F$77*SUMIF('11.1.Амортиз.нови активи'!$B$11:$B$58,$B13,'11.1.Амортиз.нови активи'!AA$11:AA$58))</f>
        <v>275</v>
      </c>
      <c r="G13" s="887">
        <f>F13+SUMIF('11.1.Амортиз.нови активи'!$B$11:$B$58,$B13,'11.1.Амортиз.нови активи'!G$11:G$58)+('9.Инвестиционна програма'!G$77*SUMIF('11.1.Амортиз.нови активи'!$B$11:$B$58,$B13,'11.1.Амортиз.нови активи'!AB$11:AB$58))</f>
        <v>275</v>
      </c>
      <c r="H13" s="887">
        <f>G13+SUMIF('11.1.Амортиз.нови активи'!$B$11:$B$58,$B13,'11.1.Амортиз.нови активи'!H$11:H$58)+('9.Инвестиционна програма'!H$77*SUMIF('11.1.Амортиз.нови активи'!$B$11:$B$58,$B13,'11.1.Амортиз.нови активи'!AC$11:AC$58))</f>
        <v>275</v>
      </c>
      <c r="I13" s="887">
        <f>H13+SUMIF('11.1.Амортиз.нови активи'!$B$11:$B$58,$B13,'11.1.Амортиз.нови активи'!I$11:I$58)+('9.Инвестиционна програма'!I$77*SUMIF('11.1.Амортиз.нови активи'!$B$11:$B$58,$B13,'11.1.Амортиз.нови активи'!AD$11:AD$58))</f>
        <v>275</v>
      </c>
      <c r="J13" s="887">
        <f>I13+SUMIF('11.1.Амортиз.нови активи'!$B$11:$B$58,$B13,'11.1.Амортиз.нови активи'!J$11:J$58)+('9.Инвестиционна програма'!J$77*SUMIF('11.1.Амортиз.нови активи'!$B$11:$B$58,$B13,'11.1.Амортиз.нови активи'!AE$11:AE$58))</f>
        <v>275</v>
      </c>
      <c r="K13" s="888">
        <f>J13+SUMIF('11.1.Амортиз.нови активи'!$B$11:$B$58,$B13,'11.1.Амортиз.нови активи'!K$11:K$58)+('9.Инвестиционна програма'!K$77*SUMIF('11.1.Амортиз.нови активи'!$B$11:$B$58,$B13,'11.1.Амортиз.нови активи'!AF$11:AF$58))</f>
        <v>275</v>
      </c>
      <c r="L13" s="2169">
        <v>32</v>
      </c>
      <c r="M13" s="886">
        <f>L13+SUMIF('11.1.Амортиз.нови активи'!$B$11:$B$58,$B13,'11.1.Амортиз.нови активи'!M$11:M$58)+('9.Инвестиционна програма'!F$78*SUMIF('11.1.Амортиз.нови активи'!$B$11:$B$58,$B13,'11.1.Амортиз.нови активи'!AA$11:AA$58))</f>
        <v>32</v>
      </c>
      <c r="N13" s="887">
        <f>M13+SUMIF('11.1.Амортиз.нови активи'!$B$11:$B$58,$B13,'11.1.Амортиз.нови активи'!N$11:N$58)+('9.Инвестиционна програма'!G$78*SUMIF('11.1.Амортиз.нови активи'!$B$11:$B$58,$B13,'11.1.Амортиз.нови активи'!AB$11:AB$58))</f>
        <v>32</v>
      </c>
      <c r="O13" s="887">
        <f>N13+SUMIF('11.1.Амортиз.нови активи'!$B$11:$B$58,$B13,'11.1.Амортиз.нови активи'!O$11:O$58)+('9.Инвестиционна програма'!H$78*SUMIF('11.1.Амортиз.нови активи'!$B$11:$B$58,$B13,'11.1.Амортиз.нови активи'!AC$11:AC$58))</f>
        <v>32</v>
      </c>
      <c r="P13" s="887">
        <f>O13+SUMIF('11.1.Амортиз.нови активи'!$B$11:$B$58,$B13,'11.1.Амортиз.нови активи'!P$11:P$58)+('9.Инвестиционна програма'!I$78*SUMIF('11.1.Амортиз.нови активи'!$B$11:$B$58,$B13,'11.1.Амортиз.нови активи'!AD$11:AD$58))</f>
        <v>32</v>
      </c>
      <c r="Q13" s="887">
        <f>P13+SUMIF('11.1.Амортиз.нови активи'!$B$11:$B$58,$B13,'11.1.Амортиз.нови активи'!Q$11:Q$58)+('9.Инвестиционна програма'!J$78*SUMIF('11.1.Амортиз.нови активи'!$B$11:$B$58,$B13,'11.1.Амортиз.нови активи'!AE$11:AE$58))</f>
        <v>32</v>
      </c>
      <c r="R13" s="888">
        <f>Q13+SUMIF('11.1.Амортиз.нови активи'!$B$11:$B$58,$B13,'11.1.Амортиз.нови активи'!R$11:R$58)+('9.Инвестиционна програма'!K$78*SUMIF('11.1.Амортиз.нови активи'!$B$11:$B$58,$B13,'11.1.Амортиз.нови активи'!AF$11:AF$58))</f>
        <v>32</v>
      </c>
      <c r="S13" s="2169">
        <v>11</v>
      </c>
      <c r="T13" s="886">
        <f>S13+SUMIF('11.1.Амортиз.нови активи'!$B$11:$B$58,$B13,'11.1.Амортиз.нови активи'!T$11:T$58)+('9.Инвестиционна програма'!F$79*SUMIF('11.1.Амортиз.нови активи'!$B$11:$B$58,$B13,'11.1.Амортиз.нови активи'!AA$11:AA$58))</f>
        <v>11</v>
      </c>
      <c r="U13" s="887">
        <f>T13+SUMIF('11.1.Амортиз.нови активи'!$B$11:$B$58,$B13,'11.1.Амортиз.нови активи'!U$11:U$58)+('9.Инвестиционна програма'!G$79*SUMIF('11.1.Амортиз.нови активи'!$B$11:$B$58,$B13,'11.1.Амортиз.нови активи'!AB$11:AB$58))</f>
        <v>11</v>
      </c>
      <c r="V13" s="887">
        <f>U13+SUMIF('11.1.Амортиз.нови активи'!$B$11:$B$58,$B13,'11.1.Амортиз.нови активи'!V$11:V$58)+('9.Инвестиционна програма'!H$79*SUMIF('11.1.Амортиз.нови активи'!$B$11:$B$58,$B13,'11.1.Амортиз.нови активи'!AC$11:AC$58))</f>
        <v>11</v>
      </c>
      <c r="W13" s="887">
        <f>V13+SUMIF('11.1.Амортиз.нови активи'!$B$11:$B$58,$B13,'11.1.Амортиз.нови активи'!W$11:W$58)+('9.Инвестиционна програма'!I$79*SUMIF('11.1.Амортиз.нови активи'!$B$11:$B$58,$B13,'11.1.Амортиз.нови активи'!AD$11:AD$58))</f>
        <v>11</v>
      </c>
      <c r="X13" s="887">
        <f>W13+SUMIF('11.1.Амортиз.нови активи'!$B$11:$B$58,$B13,'11.1.Амортиз.нови активи'!X$11:X$58)+('9.Инвестиционна програма'!J$79*SUMIF('11.1.Амортиз.нови активи'!$B$11:$B$58,$B13,'11.1.Амортиз.нови активи'!AE$11:AE$58))</f>
        <v>11</v>
      </c>
      <c r="Y13" s="888">
        <f>X13+SUMIF('11.1.Амортиз.нови активи'!$B$11:$B$58,$B13,'11.1.Амортиз.нови активи'!Y$11:Y$58)+('9.Инвестиционна програма'!K$79*SUMIF('11.1.Амортиз.нови активи'!$B$11:$B$58,$B13,'11.1.Амортиз.нови активи'!AF$11:AF$58))</f>
        <v>11</v>
      </c>
      <c r="Z13" s="1601"/>
      <c r="AA13" s="1599"/>
    </row>
    <row r="14" spans="1:31" s="1602" customFormat="1">
      <c r="A14" s="1594"/>
      <c r="B14" s="1595">
        <v>20302</v>
      </c>
      <c r="C14" s="1600">
        <v>0.1</v>
      </c>
      <c r="D14" s="2316" t="s">
        <v>600</v>
      </c>
      <c r="E14" s="2169">
        <v>188</v>
      </c>
      <c r="F14" s="933">
        <f>E14+SUMIF('11.1.Амортиз.нови активи'!$B$11:$B$58,$B14,'11.1.Амортиз.нови активи'!F$11:F$58)+('9.Инвестиционна програма'!F$77*SUMIF('11.1.Амортиз.нови активи'!$B$11:$B$58,$B14,'11.1.Амортиз.нови активи'!AA$11:AA$58))</f>
        <v>188</v>
      </c>
      <c r="G14" s="887">
        <f>F14+SUMIF('11.1.Амортиз.нови активи'!$B$11:$B$58,$B14,'11.1.Амортиз.нови активи'!G$11:G$58)+('9.Инвестиционна програма'!G$77*SUMIF('11.1.Амортиз.нови активи'!$B$11:$B$58,$B14,'11.1.Амортиз.нови активи'!AB$11:AB$58))</f>
        <v>188</v>
      </c>
      <c r="H14" s="887">
        <f>G14+SUMIF('11.1.Амортиз.нови активи'!$B$11:$B$58,$B14,'11.1.Амортиз.нови активи'!H$11:H$58)+('9.Инвестиционна програма'!H$77*SUMIF('11.1.Амортиз.нови активи'!$B$11:$B$58,$B14,'11.1.Амортиз.нови активи'!AC$11:AC$58))</f>
        <v>208</v>
      </c>
      <c r="I14" s="887">
        <f>H14+SUMIF('11.1.Амортиз.нови активи'!$B$11:$B$58,$B14,'11.1.Амортиз.нови активи'!I$11:I$58)+('9.Инвестиционна програма'!I$77*SUMIF('11.1.Амортиз.нови активи'!$B$11:$B$58,$B14,'11.1.Амортиз.нови активи'!AD$11:AD$58))</f>
        <v>219</v>
      </c>
      <c r="J14" s="887">
        <f>I14+SUMIF('11.1.Амортиз.нови активи'!$B$11:$B$58,$B14,'11.1.Амортиз.нови активи'!J$11:J$58)+('9.Инвестиционна програма'!J$77*SUMIF('11.1.Амортиз.нови активи'!$B$11:$B$58,$B14,'11.1.Амортиз.нови активи'!AE$11:AE$58))</f>
        <v>236</v>
      </c>
      <c r="K14" s="888">
        <f>J14+SUMIF('11.1.Амортиз.нови активи'!$B$11:$B$58,$B14,'11.1.Амортиз.нови активи'!K$11:K$58)+('9.Инвестиционна програма'!K$77*SUMIF('11.1.Амортиз.нови активи'!$B$11:$B$58,$B14,'11.1.Амортиз.нови активи'!AF$11:AF$58))</f>
        <v>271</v>
      </c>
      <c r="L14" s="2169">
        <v>51</v>
      </c>
      <c r="M14" s="886">
        <f>L14+SUMIF('11.1.Амортиз.нови активи'!$B$11:$B$58,$B14,'11.1.Амортиз.нови активи'!M$11:M$58)+('9.Инвестиционна програма'!F$78*SUMIF('11.1.Амортиз.нови активи'!$B$11:$B$58,$B14,'11.1.Амортиз.нови активи'!AA$11:AA$58))</f>
        <v>51</v>
      </c>
      <c r="N14" s="887">
        <f>M14+SUMIF('11.1.Амортиз.нови активи'!$B$11:$B$58,$B14,'11.1.Амортиз.нови активи'!N$11:N$58)+('9.Инвестиционна програма'!G$78*SUMIF('11.1.Амортиз.нови активи'!$B$11:$B$58,$B14,'11.1.Амортиз.нови активи'!AB$11:AB$58))</f>
        <v>51</v>
      </c>
      <c r="O14" s="887">
        <f>N14+SUMIF('11.1.Амортиз.нови активи'!$B$11:$B$58,$B14,'11.1.Амортиз.нови активи'!O$11:O$58)+('9.Инвестиционна програма'!H$78*SUMIF('11.1.Амортиз.нови активи'!$B$11:$B$58,$B14,'11.1.Амортиз.нови активи'!AC$11:AC$58))</f>
        <v>51</v>
      </c>
      <c r="P14" s="887">
        <f>O14+SUMIF('11.1.Амортиз.нови активи'!$B$11:$B$58,$B14,'11.1.Амортиз.нови активи'!P$11:P$58)+('9.Инвестиционна програма'!I$78*SUMIF('11.1.Амортиз.нови активи'!$B$11:$B$58,$B14,'11.1.Амортиз.нови активи'!AD$11:AD$58))</f>
        <v>51</v>
      </c>
      <c r="Q14" s="887">
        <f>P14+SUMIF('11.1.Амортиз.нови активи'!$B$11:$B$58,$B14,'11.1.Амортиз.нови активи'!Q$11:Q$58)+('9.Инвестиционна програма'!J$78*SUMIF('11.1.Амортиз.нови активи'!$B$11:$B$58,$B14,'11.1.Амортиз.нови активи'!AE$11:AE$58))</f>
        <v>51</v>
      </c>
      <c r="R14" s="888">
        <f>Q14+SUMIF('11.1.Амортиз.нови активи'!$B$11:$B$58,$B14,'11.1.Амортиз.нови активи'!R$11:R$58)+('9.Инвестиционна програма'!K$78*SUMIF('11.1.Амортиз.нови активи'!$B$11:$B$58,$B14,'11.1.Амортиз.нови активи'!AF$11:AF$58))</f>
        <v>51</v>
      </c>
      <c r="S14" s="2169">
        <v>15</v>
      </c>
      <c r="T14" s="886">
        <f>S14+SUMIF('11.1.Амортиз.нови активи'!$B$11:$B$58,$B14,'11.1.Амортиз.нови активи'!T$11:T$58)+('9.Инвестиционна програма'!F$79*SUMIF('11.1.Амортиз.нови активи'!$B$11:$B$58,$B14,'11.1.Амортиз.нови активи'!AA$11:AA$58))</f>
        <v>15</v>
      </c>
      <c r="U14" s="887">
        <f>T14+SUMIF('11.1.Амортиз.нови активи'!$B$11:$B$58,$B14,'11.1.Амортиз.нови активи'!U$11:U$58)+('9.Инвестиционна програма'!G$79*SUMIF('11.1.Амортиз.нови активи'!$B$11:$B$58,$B14,'11.1.Амортиз.нови активи'!AB$11:AB$58))</f>
        <v>15</v>
      </c>
      <c r="V14" s="887">
        <f>U14+SUMIF('11.1.Амортиз.нови активи'!$B$11:$B$58,$B14,'11.1.Амортиз.нови активи'!V$11:V$58)+('9.Инвестиционна програма'!H$79*SUMIF('11.1.Амортиз.нови активи'!$B$11:$B$58,$B14,'11.1.Амортиз.нови активи'!AC$11:AC$58))</f>
        <v>15</v>
      </c>
      <c r="W14" s="887">
        <f>V14+SUMIF('11.1.Амортиз.нови активи'!$B$11:$B$58,$B14,'11.1.Амортиз.нови активи'!W$11:W$58)+('9.Инвестиционна програма'!I$79*SUMIF('11.1.Амортиз.нови активи'!$B$11:$B$58,$B14,'11.1.Амортиз.нови активи'!AD$11:AD$58))</f>
        <v>25</v>
      </c>
      <c r="X14" s="887">
        <f>W14+SUMIF('11.1.Амортиз.нови активи'!$B$11:$B$58,$B14,'11.1.Амортиз.нови активи'!X$11:X$58)+('9.Инвестиционна програма'!J$79*SUMIF('11.1.Амортиз.нови активи'!$B$11:$B$58,$B14,'11.1.Амортиз.нови активи'!AE$11:AE$58))</f>
        <v>30</v>
      </c>
      <c r="Y14" s="888">
        <f>X14+SUMIF('11.1.Амортиз.нови активи'!$B$11:$B$58,$B14,'11.1.Амортиз.нови активи'!Y$11:Y$58)+('9.Инвестиционна програма'!K$79*SUMIF('11.1.Амортиз.нови активи'!$B$11:$B$58,$B14,'11.1.Амортиз.нови активи'!AF$11:AF$58))</f>
        <v>48</v>
      </c>
      <c r="Z14" s="1601"/>
      <c r="AA14" s="1599"/>
    </row>
    <row r="15" spans="1:31" s="1602" customFormat="1">
      <c r="A15" s="1594"/>
      <c r="B15" s="1595">
        <v>20303</v>
      </c>
      <c r="C15" s="1596">
        <v>0.1</v>
      </c>
      <c r="D15" s="2316" t="s">
        <v>578</v>
      </c>
      <c r="E15" s="2169">
        <v>1521</v>
      </c>
      <c r="F15" s="933">
        <f>E15+SUMIF('11.1.Амортиз.нови активи'!$B$11:$B$58,$B15,'11.1.Амортиз.нови активи'!F$11:F$58)+('9.Инвестиционна програма'!F$77*SUMIF('11.1.Амортиз.нови активи'!$B$11:$B$58,$B15,'11.1.Амортиз.нови активи'!AA$11:AA$58))</f>
        <v>1521</v>
      </c>
      <c r="G15" s="887">
        <f>F15+SUMIF('11.1.Амортиз.нови активи'!$B$11:$B$58,$B15,'11.1.Амортиз.нови активи'!G$11:G$58)+('9.Инвестиционна програма'!G$77*SUMIF('11.1.Амортиз.нови активи'!$B$11:$B$58,$B15,'11.1.Амортиз.нови активи'!AB$11:AB$58))</f>
        <v>1521</v>
      </c>
      <c r="H15" s="887">
        <f>G15+SUMIF('11.1.Амортиз.нови активи'!$B$11:$B$58,$B15,'11.1.Амортиз.нови активи'!H$11:H$58)+('9.Инвестиционна програма'!H$77*SUMIF('11.1.Амортиз.нови активи'!$B$11:$B$58,$B15,'11.1.Амортиз.нови активи'!AC$11:AC$58))</f>
        <v>1521</v>
      </c>
      <c r="I15" s="887">
        <f>H15+SUMIF('11.1.Амортиз.нови активи'!$B$11:$B$58,$B15,'11.1.Амортиз.нови активи'!I$11:I$58)+('9.Инвестиционна програма'!I$77*SUMIF('11.1.Амортиз.нови активи'!$B$11:$B$58,$B15,'11.1.Амортиз.нови активи'!AD$11:AD$58))</f>
        <v>1566</v>
      </c>
      <c r="J15" s="887">
        <f>I15+SUMIF('11.1.Амортиз.нови активи'!$B$11:$B$58,$B15,'11.1.Амортиз.нови активи'!J$11:J$58)+('9.Инвестиционна програма'!J$77*SUMIF('11.1.Амортиз.нови активи'!$B$11:$B$58,$B15,'11.1.Амортиз.нови активи'!AE$11:AE$58))</f>
        <v>1833</v>
      </c>
      <c r="K15" s="888">
        <f>J15+SUMIF('11.1.Амортиз.нови активи'!$B$11:$B$58,$B15,'11.1.Амортиз.нови активи'!K$11:K$58)+('9.Инвестиционна програма'!K$77*SUMIF('11.1.Амортиз.нови активи'!$B$11:$B$58,$B15,'11.1.Амортиз.нови активи'!AF$11:AF$58))</f>
        <v>1878</v>
      </c>
      <c r="L15" s="2169">
        <v>195</v>
      </c>
      <c r="M15" s="886">
        <f>L15+SUMIF('11.1.Амортиз.нови активи'!$B$11:$B$58,$B15,'11.1.Амортиз.нови активи'!M$11:M$58)+('9.Инвестиционна програма'!F$78*SUMIF('11.1.Амортиз.нови активи'!$B$11:$B$58,$B15,'11.1.Амортиз.нови активи'!AA$11:AA$58))</f>
        <v>206</v>
      </c>
      <c r="N15" s="887">
        <f>M15+SUMIF('11.1.Амортиз.нови активи'!$B$11:$B$58,$B15,'11.1.Амортиз.нови активи'!N$11:N$58)+('9.Инвестиционна програма'!G$78*SUMIF('11.1.Амортиз.нови активи'!$B$11:$B$58,$B15,'11.1.Амортиз.нови активи'!AB$11:AB$58))</f>
        <v>892</v>
      </c>
      <c r="O15" s="887">
        <f>N15+SUMIF('11.1.Амортиз.нови активи'!$B$11:$B$58,$B15,'11.1.Амортиз.нови активи'!O$11:O$58)+('9.Инвестиционна програма'!H$78*SUMIF('11.1.Амортиз.нови активи'!$B$11:$B$58,$B15,'11.1.Амортиз.нови активи'!AC$11:AC$58))</f>
        <v>892</v>
      </c>
      <c r="P15" s="887">
        <f>O15+SUMIF('11.1.Амортиз.нови активи'!$B$11:$B$58,$B15,'11.1.Амортиз.нови активи'!P$11:P$58)+('9.Инвестиционна програма'!I$78*SUMIF('11.1.Амортиз.нови активи'!$B$11:$B$58,$B15,'11.1.Амортиз.нови активи'!AD$11:AD$58))</f>
        <v>892</v>
      </c>
      <c r="Q15" s="887">
        <f>P15+SUMIF('11.1.Амортиз.нови активи'!$B$11:$B$58,$B15,'11.1.Амортиз.нови активи'!Q$11:Q$58)+('9.Инвестиционна програма'!J$78*SUMIF('11.1.Амортиз.нови активи'!$B$11:$B$58,$B15,'11.1.Амортиз.нови активи'!AE$11:AE$58))</f>
        <v>1114</v>
      </c>
      <c r="R15" s="888">
        <f>Q15+SUMIF('11.1.Амортиз.нови активи'!$B$11:$B$58,$B15,'11.1.Амортиз.нови активи'!R$11:R$58)+('9.Инвестиционна програма'!K$78*SUMIF('11.1.Амортиз.нови активи'!$B$11:$B$58,$B15,'11.1.Амортиз.нови активи'!AF$11:AF$58))</f>
        <v>1225</v>
      </c>
      <c r="S15" s="2169">
        <v>3</v>
      </c>
      <c r="T15" s="886">
        <f>S15+SUMIF('11.1.Амортиз.нови активи'!$B$11:$B$58,$B15,'11.1.Амортиз.нови активи'!T$11:T$58)+('9.Инвестиционна програма'!F$79*SUMIF('11.1.Амортиз.нови активи'!$B$11:$B$58,$B15,'11.1.Амортиз.нови активи'!AA$11:AA$58))</f>
        <v>11</v>
      </c>
      <c r="U15" s="887">
        <f>T15+SUMIF('11.1.Амортиз.нови активи'!$B$11:$B$58,$B15,'11.1.Амортиз.нови активи'!U$11:U$58)+('9.Инвестиционна програма'!G$79*SUMIF('11.1.Амортиз.нови активи'!$B$11:$B$58,$B15,'11.1.Амортиз.нови активи'!AB$11:AB$58))</f>
        <v>11</v>
      </c>
      <c r="V15" s="887">
        <f>U15+SUMIF('11.1.Амортиз.нови активи'!$B$11:$B$58,$B15,'11.1.Амортиз.нови активи'!V$11:V$58)+('9.Инвестиционна програма'!H$79*SUMIF('11.1.Амортиз.нови активи'!$B$11:$B$58,$B15,'11.1.Амортиз.нови активи'!AC$11:AC$58))</f>
        <v>11</v>
      </c>
      <c r="W15" s="887">
        <f>V15+SUMIF('11.1.Амортиз.нови активи'!$B$11:$B$58,$B15,'11.1.Амортиз.нови активи'!W$11:W$58)+('9.Инвестиционна програма'!I$79*SUMIF('11.1.Амортиз.нови активи'!$B$11:$B$58,$B15,'11.1.Амортиз.нови активи'!AD$11:AD$58))</f>
        <v>11</v>
      </c>
      <c r="X15" s="887">
        <f>W15+SUMIF('11.1.Амортиз.нови активи'!$B$11:$B$58,$B15,'11.1.Амортиз.нови активи'!X$11:X$58)+('9.Инвестиционна програма'!J$79*SUMIF('11.1.Амортиз.нови активи'!$B$11:$B$58,$B15,'11.1.Амортиз.нови активи'!AE$11:AE$58))</f>
        <v>11</v>
      </c>
      <c r="Y15" s="888">
        <f>X15+SUMIF('11.1.Амортиз.нови активи'!$B$11:$B$58,$B15,'11.1.Амортиз.нови активи'!Y$11:Y$58)+('9.Инвестиционна програма'!K$79*SUMIF('11.1.Амортиз.нови активи'!$B$11:$B$58,$B15,'11.1.Амортиз.нови активи'!AF$11:AF$58))</f>
        <v>11</v>
      </c>
      <c r="Z15" s="1601"/>
      <c r="AA15" s="1599"/>
    </row>
    <row r="16" spans="1:31" s="1602" customFormat="1">
      <c r="A16" s="1594"/>
      <c r="B16" s="1595">
        <v>20306</v>
      </c>
      <c r="C16" s="1596">
        <v>0.1</v>
      </c>
      <c r="D16" s="2316" t="s">
        <v>581</v>
      </c>
      <c r="E16" s="2169">
        <v>187</v>
      </c>
      <c r="F16" s="933">
        <f>E16+SUMIF('11.1.Амортиз.нови активи'!$B$11:$B$58,$B16,'11.1.Амортиз.нови активи'!F$11:F$58)+('9.Инвестиционна програма'!F$77*SUMIF('11.1.Амортиз.нови активи'!$B$11:$B$58,$B16,'11.1.Амортиз.нови активи'!AA$11:AA$58))</f>
        <v>250</v>
      </c>
      <c r="G16" s="887">
        <f>F16+SUMIF('11.1.Амортиз.нови активи'!$B$11:$B$58,$B16,'11.1.Амортиз.нови активи'!G$11:G$58)+('9.Инвестиционна програма'!G$77*SUMIF('11.1.Амортиз.нови активи'!$B$11:$B$58,$B16,'11.1.Амортиз.нови активи'!AB$11:AB$58))</f>
        <v>250</v>
      </c>
      <c r="H16" s="887">
        <f>G16+SUMIF('11.1.Амортиз.нови активи'!$B$11:$B$58,$B16,'11.1.Амортиз.нови активи'!H$11:H$58)+('9.Инвестиционна програма'!H$77*SUMIF('11.1.Амортиз.нови активи'!$B$11:$B$58,$B16,'11.1.Амортиз.нови активи'!AC$11:AC$58))</f>
        <v>250</v>
      </c>
      <c r="I16" s="887">
        <f>H16+SUMIF('11.1.Амортиз.нови активи'!$B$11:$B$58,$B16,'11.1.Амортиз.нови активи'!I$11:I$58)+('9.Инвестиционна програма'!I$77*SUMIF('11.1.Амортиз.нови активи'!$B$11:$B$58,$B16,'11.1.Амортиз.нови активи'!AD$11:AD$58))</f>
        <v>290</v>
      </c>
      <c r="J16" s="887">
        <f>I16+SUMIF('11.1.Амортиз.нови активи'!$B$11:$B$58,$B16,'11.1.Амортиз.нови активи'!J$11:J$58)+('9.Инвестиционна програма'!J$77*SUMIF('11.1.Амортиз.нови активи'!$B$11:$B$58,$B16,'11.1.Амортиз.нови активи'!AE$11:AE$58))</f>
        <v>325</v>
      </c>
      <c r="K16" s="888">
        <f>J16+SUMIF('11.1.Амортиз.нови активи'!$B$11:$B$58,$B16,'11.1.Амортиз.нови активи'!K$11:K$58)+('9.Инвестиционна програма'!K$77*SUMIF('11.1.Амортиз.нови активи'!$B$11:$B$58,$B16,'11.1.Амортиз.нови активи'!AF$11:AF$58))</f>
        <v>360</v>
      </c>
      <c r="L16" s="2169">
        <v>45</v>
      </c>
      <c r="M16" s="886">
        <f>L16+SUMIF('11.1.Амортиз.нови активи'!$B$11:$B$58,$B16,'11.1.Амортиз.нови активи'!M$11:M$58)+('9.Инвестиционна програма'!F$78*SUMIF('11.1.Амортиз.нови активи'!$B$11:$B$58,$B16,'11.1.Амортиз.нови активи'!AA$11:AA$58))</f>
        <v>102</v>
      </c>
      <c r="N16" s="887">
        <f>M16+SUMIF('11.1.Амортиз.нови активи'!$B$11:$B$58,$B16,'11.1.Амортиз.нови активи'!N$11:N$58)+('9.Инвестиционна програма'!G$78*SUMIF('11.1.Амортиз.нови активи'!$B$11:$B$58,$B16,'11.1.Амортиз.нови активи'!AB$11:AB$58))</f>
        <v>102</v>
      </c>
      <c r="O16" s="887">
        <f>N16+SUMIF('11.1.Амортиз.нови активи'!$B$11:$B$58,$B16,'11.1.Амортиз.нови активи'!O$11:O$58)+('9.Инвестиционна програма'!H$78*SUMIF('11.1.Амортиз.нови активи'!$B$11:$B$58,$B16,'11.1.Амортиз.нови активи'!AC$11:AC$58))</f>
        <v>102</v>
      </c>
      <c r="P16" s="887">
        <f>O16+SUMIF('11.1.Амортиз.нови активи'!$B$11:$B$58,$B16,'11.1.Амортиз.нови активи'!P$11:P$58)+('9.Инвестиционна програма'!I$78*SUMIF('11.1.Амортиз.нови активи'!$B$11:$B$58,$B16,'11.1.Амортиз.нови активи'!AD$11:AD$58))</f>
        <v>106</v>
      </c>
      <c r="Q16" s="887">
        <f>P16+SUMIF('11.1.Амортиз.нови активи'!$B$11:$B$58,$B16,'11.1.Амортиз.нови активи'!Q$11:Q$58)+('9.Инвестиционна програма'!J$78*SUMIF('11.1.Амортиз.нови активи'!$B$11:$B$58,$B16,'11.1.Амортиз.нови активи'!AE$11:AE$58))</f>
        <v>110</v>
      </c>
      <c r="R16" s="888">
        <f>Q16+SUMIF('11.1.Амортиз.нови активи'!$B$11:$B$58,$B16,'11.1.Амортиз.нови активи'!R$11:R$58)+('9.Инвестиционна програма'!K$78*SUMIF('11.1.Амортиз.нови активи'!$B$11:$B$58,$B16,'11.1.Амортиз.нови активи'!AF$11:AF$58))</f>
        <v>114</v>
      </c>
      <c r="S16" s="2169">
        <v>1</v>
      </c>
      <c r="T16" s="886">
        <f>S16+SUMIF('11.1.Амортиз.нови активи'!$B$11:$B$58,$B16,'11.1.Амортиз.нови активи'!T$11:T$58)+('9.Инвестиционна програма'!F$79*SUMIF('11.1.Амортиз.нови активи'!$B$11:$B$58,$B16,'11.1.Амортиз.нови активи'!AA$11:AA$58))</f>
        <v>17</v>
      </c>
      <c r="U16" s="887">
        <f>T16+SUMIF('11.1.Амортиз.нови активи'!$B$11:$B$58,$B16,'11.1.Амортиз.нови активи'!U$11:U$58)+('9.Инвестиционна програма'!G$79*SUMIF('11.1.Амортиз.нови активи'!$B$11:$B$58,$B16,'11.1.Амортиз.нови активи'!AB$11:AB$58))</f>
        <v>31</v>
      </c>
      <c r="V16" s="887">
        <f>U16+SUMIF('11.1.Амортиз.нови активи'!$B$11:$B$58,$B16,'11.1.Амортиз.нови активи'!V$11:V$58)+('9.Инвестиционна програма'!H$79*SUMIF('11.1.Амортиз.нови активи'!$B$11:$B$58,$B16,'11.1.Амортиз.нови активи'!AC$11:AC$58))</f>
        <v>71</v>
      </c>
      <c r="W16" s="887">
        <f>V16+SUMIF('11.1.Амортиз.нови активи'!$B$11:$B$58,$B16,'11.1.Амортиз.нови активи'!W$11:W$58)+('9.Инвестиционна програма'!I$79*SUMIF('11.1.Амортиз.нови активи'!$B$11:$B$58,$B16,'11.1.Амортиз.нови активи'!AD$11:AD$58))</f>
        <v>106</v>
      </c>
      <c r="X16" s="887">
        <f>W16+SUMIF('11.1.Амортиз.нови активи'!$B$11:$B$58,$B16,'11.1.Амортиз.нови активи'!X$11:X$58)+('9.Инвестиционна програма'!J$79*SUMIF('11.1.Амортиз.нови активи'!$B$11:$B$58,$B16,'11.1.Амортиз.нови активи'!AE$11:AE$58))</f>
        <v>141</v>
      </c>
      <c r="Y16" s="888">
        <f>X16+SUMIF('11.1.Амортиз.нови активи'!$B$11:$B$58,$B16,'11.1.Амортиз.нови активи'!Y$11:Y$58)+('9.Инвестиционна програма'!K$79*SUMIF('11.1.Амортиз.нови активи'!$B$11:$B$58,$B16,'11.1.Амортиз.нови активи'!AF$11:AF$58))</f>
        <v>176</v>
      </c>
      <c r="Z16" s="1601"/>
      <c r="AA16" s="1599"/>
    </row>
    <row r="17" spans="1:28" s="1602" customFormat="1">
      <c r="A17" s="1594">
        <v>4</v>
      </c>
      <c r="B17" s="1595">
        <v>20403</v>
      </c>
      <c r="C17" s="1600">
        <v>0.04</v>
      </c>
      <c r="D17" s="2903" t="s">
        <v>606</v>
      </c>
      <c r="E17" s="2169"/>
      <c r="F17" s="933">
        <f>E17+SUMIF('11.1.Амортиз.нови активи'!$B$11:$B$58,$B17,'11.1.Амортиз.нови активи'!F$11:F$58)+('9.Инвестиционна програма'!F$77*SUMIF('11.1.Амортиз.нови активи'!$B$11:$B$58,$B17,'11.1.Амортиз.нови активи'!AA$11:AA$58))</f>
        <v>0</v>
      </c>
      <c r="G17" s="887">
        <f>F17+SUMIF('11.1.Амортиз.нови активи'!$B$11:$B$58,$B17,'11.1.Амортиз.нови активи'!G$11:G$58)+('9.Инвестиционна програма'!G$77*SUMIF('11.1.Амортиз.нови активи'!$B$11:$B$58,$B17,'11.1.Амортиз.нови активи'!AB$11:AB$58))</f>
        <v>0</v>
      </c>
      <c r="H17" s="887">
        <f>G17+SUMIF('11.1.Амортиз.нови активи'!$B$11:$B$58,$B17,'11.1.Амортиз.нови активи'!H$11:H$58)+('9.Инвестиционна програма'!H$77*SUMIF('11.1.Амортиз.нови активи'!$B$11:$B$58,$B17,'11.1.Амортиз.нови активи'!AC$11:AC$58))</f>
        <v>0</v>
      </c>
      <c r="I17" s="887">
        <f>H17+SUMIF('11.1.Амортиз.нови активи'!$B$11:$B$58,$B17,'11.1.Амортиз.нови активи'!I$11:I$58)+('9.Инвестиционна програма'!I$77*SUMIF('11.1.Амортиз.нови активи'!$B$11:$B$58,$B17,'11.1.Амортиз.нови активи'!AD$11:AD$58))</f>
        <v>0</v>
      </c>
      <c r="J17" s="887">
        <f>I17+SUMIF('11.1.Амортиз.нови активи'!$B$11:$B$58,$B17,'11.1.Амортиз.нови активи'!J$11:J$58)+('9.Инвестиционна програма'!J$77*SUMIF('11.1.Амортиз.нови активи'!$B$11:$B$58,$B17,'11.1.Амортиз.нови активи'!AE$11:AE$58))</f>
        <v>0</v>
      </c>
      <c r="K17" s="888">
        <f>J17+SUMIF('11.1.Амортиз.нови активи'!$B$11:$B$58,$B17,'11.1.Амортиз.нови активи'!K$11:K$58)+('9.Инвестиционна програма'!K$77*SUMIF('11.1.Амортиз.нови активи'!$B$11:$B$58,$B17,'11.1.Амортиз.нови активи'!AF$11:AF$58))</f>
        <v>0</v>
      </c>
      <c r="L17" s="2169"/>
      <c r="M17" s="886">
        <f>L17+SUMIF('11.1.Амортиз.нови активи'!$B$11:$B$58,$B17,'11.1.Амортиз.нови активи'!M$11:M$58)+('9.Инвестиционна програма'!F$78*SUMIF('11.1.Амортиз.нови активи'!$B$11:$B$58,$B17,'11.1.Амортиз.нови активи'!AA$11:AA$58))</f>
        <v>0</v>
      </c>
      <c r="N17" s="887">
        <f>M17+SUMIF('11.1.Амортиз.нови активи'!$B$11:$B$58,$B17,'11.1.Амортиз.нови активи'!N$11:N$58)+('9.Инвестиционна програма'!G$78*SUMIF('11.1.Амортиз.нови активи'!$B$11:$B$58,$B17,'11.1.Амортиз.нови активи'!AB$11:AB$58))</f>
        <v>0</v>
      </c>
      <c r="O17" s="887">
        <f>N17+SUMIF('11.1.Амортиз.нови активи'!$B$11:$B$58,$B17,'11.1.Амортиз.нови активи'!O$11:O$58)+('9.Инвестиционна програма'!H$78*SUMIF('11.1.Амортиз.нови активи'!$B$11:$B$58,$B17,'11.1.Амортиз.нови активи'!AC$11:AC$58))</f>
        <v>0</v>
      </c>
      <c r="P17" s="887">
        <f>O17+SUMIF('11.1.Амортиз.нови активи'!$B$11:$B$58,$B17,'11.1.Амортиз.нови активи'!P$11:P$58)+('9.Инвестиционна програма'!I$78*SUMIF('11.1.Амортиз.нови активи'!$B$11:$B$58,$B17,'11.1.Амортиз.нови активи'!AD$11:AD$58))</f>
        <v>0</v>
      </c>
      <c r="Q17" s="887">
        <f>P17+SUMIF('11.1.Амортиз.нови активи'!$B$11:$B$58,$B17,'11.1.Амортиз.нови активи'!Q$11:Q$58)+('9.Инвестиционна програма'!J$78*SUMIF('11.1.Амортиз.нови активи'!$B$11:$B$58,$B17,'11.1.Амортиз.нови активи'!AE$11:AE$58))</f>
        <v>0</v>
      </c>
      <c r="R17" s="888">
        <f>Q17+SUMIF('11.1.Амортиз.нови активи'!$B$11:$B$58,$B17,'11.1.Амортиз.нови активи'!R$11:R$58)+('9.Инвестиционна програма'!K$78*SUMIF('11.1.Амортиз.нови активи'!$B$11:$B$58,$B17,'11.1.Амортиз.нови активи'!AF$11:AF$58))</f>
        <v>0</v>
      </c>
      <c r="S17" s="2169"/>
      <c r="T17" s="886">
        <f>S17+SUMIF('11.1.Амортиз.нови активи'!$B$11:$B$58,$B17,'11.1.Амортиз.нови активи'!T$11:T$58)+('9.Инвестиционна програма'!F$79*SUMIF('11.1.Амортиз.нови активи'!$B$11:$B$58,$B17,'11.1.Амортиз.нови активи'!AA$11:AA$58))</f>
        <v>0</v>
      </c>
      <c r="U17" s="887">
        <f>T17+SUMIF('11.1.Амортиз.нови активи'!$B$11:$B$58,$B17,'11.1.Амортиз.нови активи'!U$11:U$58)+('9.Инвестиционна програма'!G$79*SUMIF('11.1.Амортиз.нови активи'!$B$11:$B$58,$B17,'11.1.Амортиз.нови активи'!AB$11:AB$58))</f>
        <v>0</v>
      </c>
      <c r="V17" s="887">
        <f>U17+SUMIF('11.1.Амортиз.нови активи'!$B$11:$B$58,$B17,'11.1.Амортиз.нови активи'!V$11:V$58)+('9.Инвестиционна програма'!H$79*SUMIF('11.1.Амортиз.нови активи'!$B$11:$B$58,$B17,'11.1.Амортиз.нови активи'!AC$11:AC$58))</f>
        <v>0</v>
      </c>
      <c r="W17" s="887">
        <f>V17+SUMIF('11.1.Амортиз.нови активи'!$B$11:$B$58,$B17,'11.1.Амортиз.нови активи'!W$11:W$58)+('9.Инвестиционна програма'!I$79*SUMIF('11.1.Амортиз.нови активи'!$B$11:$B$58,$B17,'11.1.Амортиз.нови активи'!AD$11:AD$58))</f>
        <v>0</v>
      </c>
      <c r="X17" s="887">
        <f>W17+SUMIF('11.1.Амортиз.нови активи'!$B$11:$B$58,$B17,'11.1.Амортиз.нови активи'!X$11:X$58)+('9.Инвестиционна програма'!J$79*SUMIF('11.1.Амортиз.нови активи'!$B$11:$B$58,$B17,'11.1.Амортиз.нови активи'!AE$11:AE$58))</f>
        <v>0</v>
      </c>
      <c r="Y17" s="888">
        <f>X17+SUMIF('11.1.Амортиз.нови активи'!$B$11:$B$58,$B17,'11.1.Амортиз.нови активи'!Y$11:Y$58)+('9.Инвестиционна програма'!K$79*SUMIF('11.1.Амортиз.нови активи'!$B$11:$B$58,$B17,'11.1.Амортиз.нови активи'!AF$11:AF$58))</f>
        <v>0</v>
      </c>
      <c r="Z17" s="1601"/>
      <c r="AA17" s="1599"/>
    </row>
    <row r="18" spans="1:28">
      <c r="A18" s="1594">
        <v>5</v>
      </c>
      <c r="B18" s="1595">
        <v>205</v>
      </c>
      <c r="C18" s="1595"/>
      <c r="D18" s="2315" t="s">
        <v>275</v>
      </c>
      <c r="E18" s="1603">
        <f t="shared" ref="E18:Y18" si="3">SUM(E19:E22)</f>
        <v>2692</v>
      </c>
      <c r="F18" s="1604">
        <f t="shared" si="3"/>
        <v>2692</v>
      </c>
      <c r="G18" s="1605">
        <f t="shared" si="3"/>
        <v>2733.996142719383</v>
      </c>
      <c r="H18" s="1605">
        <f t="shared" si="3"/>
        <v>2770.3135230720281</v>
      </c>
      <c r="I18" s="1605">
        <f t="shared" si="3"/>
        <v>2830.3135230720281</v>
      </c>
      <c r="J18" s="1605">
        <f t="shared" si="3"/>
        <v>2860.3135230720281</v>
      </c>
      <c r="K18" s="1605">
        <f t="shared" si="3"/>
        <v>2890.3135230720281</v>
      </c>
      <c r="L18" s="1603">
        <f t="shared" si="3"/>
        <v>689</v>
      </c>
      <c r="M18" s="1604">
        <f t="shared" si="3"/>
        <v>689</v>
      </c>
      <c r="N18" s="1605">
        <f t="shared" si="3"/>
        <v>710.49951783992287</v>
      </c>
      <c r="O18" s="1605">
        <f t="shared" si="3"/>
        <v>714.01337174420496</v>
      </c>
      <c r="P18" s="1605">
        <f t="shared" si="3"/>
        <v>744.01337174420496</v>
      </c>
      <c r="Q18" s="1605">
        <f t="shared" si="3"/>
        <v>871.01337174420496</v>
      </c>
      <c r="R18" s="1605">
        <f t="shared" si="3"/>
        <v>871.01337174420496</v>
      </c>
      <c r="S18" s="1603">
        <f t="shared" si="3"/>
        <v>8</v>
      </c>
      <c r="T18" s="1604">
        <f t="shared" si="3"/>
        <v>8</v>
      </c>
      <c r="U18" s="1605">
        <f t="shared" si="3"/>
        <v>9.5043394406943111</v>
      </c>
      <c r="V18" s="1605">
        <f t="shared" si="3"/>
        <v>84.673105183767362</v>
      </c>
      <c r="W18" s="1605">
        <f t="shared" si="3"/>
        <v>84.673105183767362</v>
      </c>
      <c r="X18" s="1605">
        <f t="shared" si="3"/>
        <v>84.673105183767362</v>
      </c>
      <c r="Y18" s="1606">
        <f t="shared" si="3"/>
        <v>84.673105183767362</v>
      </c>
      <c r="Z18" s="1592"/>
      <c r="AA18" s="1599"/>
      <c r="AB18" s="1562"/>
    </row>
    <row r="19" spans="1:28">
      <c r="A19" s="1607"/>
      <c r="B19" s="1608">
        <v>20501</v>
      </c>
      <c r="C19" s="1600">
        <v>0.08</v>
      </c>
      <c r="D19" s="2318" t="s">
        <v>582</v>
      </c>
      <c r="E19" s="2169">
        <v>1079</v>
      </c>
      <c r="F19" s="933">
        <f>E19+SUMIF('11.1.Амортиз.нови активи'!$B$11:$B$58,$B19,'11.1.Амортиз.нови активи'!F$11:F$58)+('9.Инвестиционна програма'!F$77*SUMIF('11.1.Амортиз.нови активи'!$B$11:$B$58,$B19,'11.1.Амортиз.нови активи'!AA$11:AA$58))</f>
        <v>1079</v>
      </c>
      <c r="G19" s="887">
        <f>F19+SUMIF('11.1.Амортиз.нови активи'!$B$11:$B$58,$B19,'11.1.Амортиз.нови активи'!G$11:G$58)+('9.Инвестиционна програма'!G$77*SUMIF('11.1.Амортиз.нови активи'!$B$11:$B$58,$B19,'11.1.Амортиз.нови активи'!AB$11:AB$58))</f>
        <v>1079</v>
      </c>
      <c r="H19" s="887">
        <f>G19+SUMIF('11.1.Амортиз.нови активи'!$B$11:$B$58,$B19,'11.1.Амортиз.нови активи'!H$11:H$58)+('9.Инвестиционна програма'!H$77*SUMIF('11.1.Амортиз.нови активи'!$B$11:$B$58,$B19,'11.1.Амортиз.нови активи'!AC$11:AC$58))</f>
        <v>1079</v>
      </c>
      <c r="I19" s="887">
        <f>H19+SUMIF('11.1.Амортиз.нови активи'!$B$11:$B$58,$B19,'11.1.Амортиз.нови активи'!I$11:I$58)+('9.Инвестиционна програма'!I$77*SUMIF('11.1.Амортиз.нови активи'!$B$11:$B$58,$B19,'11.1.Амортиз.нови активи'!AD$11:AD$58))</f>
        <v>1079</v>
      </c>
      <c r="J19" s="887">
        <f>I19+SUMIF('11.1.Амортиз.нови активи'!$B$11:$B$58,$B19,'11.1.Амортиз.нови активи'!J$11:J$58)+('9.Инвестиционна програма'!J$77*SUMIF('11.1.Амортиз.нови активи'!$B$11:$B$58,$B19,'11.1.Амортиз.нови активи'!AE$11:AE$58))</f>
        <v>1079</v>
      </c>
      <c r="K19" s="888">
        <f>J19+SUMIF('11.1.Амортиз.нови активи'!$B$11:$B$58,$B19,'11.1.Амортиз.нови активи'!K$11:K$58)+('9.Инвестиционна програма'!K$77*SUMIF('11.1.Амортиз.нови активи'!$B$11:$B$58,$B19,'11.1.Амортиз.нови активи'!AF$11:AF$58))</f>
        <v>1079</v>
      </c>
      <c r="L19" s="2169">
        <v>490</v>
      </c>
      <c r="M19" s="886">
        <f>L19+SUMIF('11.1.Амортиз.нови активи'!$B$11:$B$58,$B19,'11.1.Амортиз.нови активи'!M$11:M$58)+('9.Инвестиционна програма'!F$78*SUMIF('11.1.Амортиз.нови активи'!$B$11:$B$58,$B19,'11.1.Амортиз.нови активи'!AA$11:AA$58))</f>
        <v>490</v>
      </c>
      <c r="N19" s="887">
        <f>M19+SUMIF('11.1.Амортиз.нови активи'!$B$11:$B$58,$B19,'11.1.Амортиз.нови активи'!N$11:N$58)+('9.Инвестиционна програма'!G$78*SUMIF('11.1.Амортиз.нови активи'!$B$11:$B$58,$B19,'11.1.Амортиз.нови активи'!AB$11:AB$58))</f>
        <v>490</v>
      </c>
      <c r="O19" s="887">
        <f>N19+SUMIF('11.1.Амортиз.нови активи'!$B$11:$B$58,$B19,'11.1.Амортиз.нови активи'!O$11:O$58)+('9.Инвестиционна програма'!H$78*SUMIF('11.1.Амортиз.нови активи'!$B$11:$B$58,$B19,'11.1.Амортиз.нови активи'!AC$11:AC$58))</f>
        <v>490</v>
      </c>
      <c r="P19" s="887">
        <f>O19+SUMIF('11.1.Амортиз.нови активи'!$B$11:$B$58,$B19,'11.1.Амортиз.нови активи'!P$11:P$58)+('9.Инвестиционна програма'!I$78*SUMIF('11.1.Амортиз.нови активи'!$B$11:$B$58,$B19,'11.1.Амортиз.нови активи'!AD$11:AD$58))</f>
        <v>490</v>
      </c>
      <c r="Q19" s="887">
        <f>P19+SUMIF('11.1.Амортиз.нови активи'!$B$11:$B$58,$B19,'11.1.Амортиз.нови активи'!Q$11:Q$58)+('9.Инвестиционна програма'!J$78*SUMIF('11.1.Амортиз.нови активи'!$B$11:$B$58,$B19,'11.1.Амортиз.нови активи'!AE$11:AE$58))</f>
        <v>617</v>
      </c>
      <c r="R19" s="888">
        <f>Q19+SUMIF('11.1.Амортиз.нови активи'!$B$11:$B$58,$B19,'11.1.Амортиз.нови активи'!R$11:R$58)+('9.Инвестиционна програма'!K$78*SUMIF('11.1.Амортиз.нови активи'!$B$11:$B$58,$B19,'11.1.Амортиз.нови активи'!AF$11:AF$58))</f>
        <v>617</v>
      </c>
      <c r="S19" s="2169">
        <v>3</v>
      </c>
      <c r="T19" s="886">
        <f>S19+SUMIF('11.1.Амортиз.нови активи'!$B$11:$B$58,$B19,'11.1.Амортиз.нови активи'!T$11:T$58)+('9.Инвестиционна програма'!F$79*SUMIF('11.1.Амортиз.нови активи'!$B$11:$B$58,$B19,'11.1.Амортиз.нови активи'!AA$11:AA$58))</f>
        <v>3</v>
      </c>
      <c r="U19" s="887">
        <f>T19+SUMIF('11.1.Амортиз.нови активи'!$B$11:$B$58,$B19,'11.1.Амортиз.нови активи'!U$11:U$58)+('9.Инвестиционна програма'!G$79*SUMIF('11.1.Амортиз.нови активи'!$B$11:$B$58,$B19,'11.1.Амортиз.нови активи'!AB$11:AB$58))</f>
        <v>3</v>
      </c>
      <c r="V19" s="887">
        <f>U19+SUMIF('11.1.Амортиз.нови активи'!$B$11:$B$58,$B19,'11.1.Амортиз.нови активи'!V$11:V$58)+('9.Инвестиционна програма'!H$79*SUMIF('11.1.Амортиз.нови активи'!$B$11:$B$58,$B19,'11.1.Амортиз.нови активи'!AC$11:AC$58))</f>
        <v>3</v>
      </c>
      <c r="W19" s="887">
        <f>V19+SUMIF('11.1.Амортиз.нови активи'!$B$11:$B$58,$B19,'11.1.Амортиз.нови активи'!W$11:W$58)+('9.Инвестиционна програма'!I$79*SUMIF('11.1.Амортиз.нови активи'!$B$11:$B$58,$B19,'11.1.Амортиз.нови активи'!AD$11:AD$58))</f>
        <v>3</v>
      </c>
      <c r="X19" s="887">
        <f>W19+SUMIF('11.1.Амортиз.нови активи'!$B$11:$B$58,$B19,'11.1.Амортиз.нови активи'!X$11:X$58)+('9.Инвестиционна програма'!J$79*SUMIF('11.1.Амортиз.нови активи'!$B$11:$B$58,$B19,'11.1.Амортиз.нови активи'!AE$11:AE$58))</f>
        <v>3</v>
      </c>
      <c r="Y19" s="888">
        <f>X19+SUMIF('11.1.Амортиз.нови активи'!$B$11:$B$58,$B19,'11.1.Амортиз.нови активи'!Y$11:Y$58)+('9.Инвестиционна програма'!K$79*SUMIF('11.1.Амортиз.нови активи'!$B$11:$B$58,$B19,'11.1.Амортиз.нови активи'!AF$11:AF$58))</f>
        <v>3</v>
      </c>
      <c r="Z19" s="1592"/>
      <c r="AA19" s="1599"/>
      <c r="AB19" s="1562"/>
    </row>
    <row r="20" spans="1:28">
      <c r="A20" s="1607"/>
      <c r="B20" s="1608">
        <v>20502</v>
      </c>
      <c r="C20" s="1600">
        <v>0.1</v>
      </c>
      <c r="D20" s="2318" t="s">
        <v>583</v>
      </c>
      <c r="E20" s="2169">
        <v>1267</v>
      </c>
      <c r="F20" s="933">
        <f>E20+SUMIF('11.1.Амортиз.нови активи'!$B$11:$B$58,$B20,'11.1.Амортиз.нови активи'!F$11:F$58)+('9.Инвестиционна програма'!F$77*SUMIF('11.1.Амортиз.нови активи'!$B$11:$B$58,$B20,'11.1.Амортиз.нови активи'!AA$11:AA$58))</f>
        <v>1267</v>
      </c>
      <c r="G20" s="887">
        <f>F20+SUMIF('11.1.Амортиз.нови активи'!$B$11:$B$58,$B20,'11.1.Амортиз.нови активи'!G$11:G$58)+('9.Инвестиционна програма'!G$77*SUMIF('11.1.Амортиз.нови активи'!$B$11:$B$58,$B20,'11.1.Амортиз.нови активи'!AB$11:AB$58))</f>
        <v>1267</v>
      </c>
      <c r="H20" s="887">
        <f>G20+SUMIF('11.1.Амортиз.нови активи'!$B$11:$B$58,$B20,'11.1.Амортиз.нови активи'!H$11:H$58)+('9.Инвестиционна програма'!H$77*SUMIF('11.1.Амортиз.нови активи'!$B$11:$B$58,$B20,'11.1.Амортиз.нови активи'!AC$11:AC$58))</f>
        <v>1303.3173803526449</v>
      </c>
      <c r="I20" s="887">
        <f>H20+SUMIF('11.1.Амортиз.нови активи'!$B$11:$B$58,$B20,'11.1.Амортиз.нови активи'!I$11:I$58)+('9.Инвестиционна програма'!I$77*SUMIF('11.1.Амортиз.нови активи'!$B$11:$B$58,$B20,'11.1.Амортиз.нови активи'!AD$11:AD$58))</f>
        <v>1363.3173803526449</v>
      </c>
      <c r="J20" s="887">
        <f>I20+SUMIF('11.1.Амортиз.нови активи'!$B$11:$B$58,$B20,'11.1.Амортиз.нови активи'!J$11:J$58)+('9.Инвестиционна програма'!J$77*SUMIF('11.1.Амортиз.нови активи'!$B$11:$B$58,$B20,'11.1.Амортиз.нови активи'!AE$11:AE$58))</f>
        <v>1393.3173803526449</v>
      </c>
      <c r="K20" s="888">
        <f>J20+SUMIF('11.1.Амортиз.нови активи'!$B$11:$B$58,$B20,'11.1.Амортиз.нови активи'!K$11:K$58)+('9.Инвестиционна програма'!K$77*SUMIF('11.1.Амортиз.нови активи'!$B$11:$B$58,$B20,'11.1.Амортиз.нови активи'!AF$11:AF$58))</f>
        <v>1423.3173803526449</v>
      </c>
      <c r="L20" s="2169">
        <v>168</v>
      </c>
      <c r="M20" s="886">
        <f>L20+SUMIF('11.1.Амортиз.нови активи'!$B$11:$B$58,$B20,'11.1.Амортиз.нови активи'!M$11:M$58)+('9.Инвестиционна програма'!F$78*SUMIF('11.1.Амортиз.нови активи'!$B$11:$B$58,$B20,'11.1.Амортиз.нови активи'!AA$11:AA$58))</f>
        <v>168</v>
      </c>
      <c r="N20" s="887">
        <f>M20+SUMIF('11.1.Амортиз.нови активи'!$B$11:$B$58,$B20,'11.1.Амортиз.нови активи'!N$11:N$58)+('9.Инвестиционна програма'!G$78*SUMIF('11.1.Амортиз.нови активи'!$B$11:$B$58,$B20,'11.1.Амортиз.нови активи'!AB$11:AB$58))</f>
        <v>168</v>
      </c>
      <c r="O20" s="887">
        <f>N20+SUMIF('11.1.Амортиз.нови активи'!$B$11:$B$58,$B20,'11.1.Амортиз.нови активи'!O$11:O$58)+('9.Инвестиционна програма'!H$78*SUMIF('11.1.Амортиз.нови активи'!$B$11:$B$58,$B20,'11.1.Амортиз.нови активи'!AC$11:AC$58))</f>
        <v>171.51385390428212</v>
      </c>
      <c r="P20" s="887">
        <f>O20+SUMIF('11.1.Амортиз.нови активи'!$B$11:$B$58,$B20,'11.1.Амортиз.нови активи'!P$11:P$58)+('9.Инвестиционна програма'!I$78*SUMIF('11.1.Амортиз.нови активи'!$B$11:$B$58,$B20,'11.1.Амортиз.нови активи'!AD$11:AD$58))</f>
        <v>201.51385390428212</v>
      </c>
      <c r="Q20" s="887">
        <f>P20+SUMIF('11.1.Амортиз.нови активи'!$B$11:$B$58,$B20,'11.1.Амортиз.нови активи'!Q$11:Q$58)+('9.Инвестиционна програма'!J$78*SUMIF('11.1.Амортиз.нови активи'!$B$11:$B$58,$B20,'11.1.Амортиз.нови активи'!AE$11:AE$58))</f>
        <v>201.51385390428212</v>
      </c>
      <c r="R20" s="888">
        <f>Q20+SUMIF('11.1.Амортиз.нови активи'!$B$11:$B$58,$B20,'11.1.Амортиз.нови активи'!R$11:R$58)+('9.Инвестиционна програма'!K$78*SUMIF('11.1.Амортиз.нови активи'!$B$11:$B$58,$B20,'11.1.Амортиз.нови активи'!AF$11:AF$58))</f>
        <v>201.51385390428212</v>
      </c>
      <c r="S20" s="2169">
        <v>4</v>
      </c>
      <c r="T20" s="886">
        <f>S20+SUMIF('11.1.Амортиз.нови активи'!$B$11:$B$58,$B20,'11.1.Амортиз.нови активи'!T$11:T$58)+('9.Инвестиционна програма'!F$79*SUMIF('11.1.Амортиз.нови активи'!$B$11:$B$58,$B20,'11.1.Амортиз.нови активи'!AA$11:AA$58))</f>
        <v>4</v>
      </c>
      <c r="U20" s="887">
        <f>T20+SUMIF('11.1.Амортиз.нови активи'!$B$11:$B$58,$B20,'11.1.Амортиз.нови активи'!U$11:U$58)+('9.Инвестиционна програма'!G$79*SUMIF('11.1.Амортиз.нови активи'!$B$11:$B$58,$B20,'11.1.Амортиз.нови активи'!AB$11:AB$58))</f>
        <v>4</v>
      </c>
      <c r="V20" s="887">
        <f>U20+SUMIF('11.1.Амортиз.нови активи'!$B$11:$B$58,$B20,'11.1.Амортиз.нови активи'!V$11:V$58)+('9.Инвестиционна програма'!H$79*SUMIF('11.1.Амортиз.нови активи'!$B$11:$B$58,$B20,'11.1.Амортиз.нови активи'!AC$11:AC$58))</f>
        <v>69.168765743073052</v>
      </c>
      <c r="W20" s="887">
        <f>V20+SUMIF('11.1.Амортиз.нови активи'!$B$11:$B$58,$B20,'11.1.Амортиз.нови активи'!W$11:W$58)+('9.Инвестиционна програма'!I$79*SUMIF('11.1.Амортиз.нови активи'!$B$11:$B$58,$B20,'11.1.Амортиз.нови активи'!AD$11:AD$58))</f>
        <v>69.168765743073052</v>
      </c>
      <c r="X20" s="887">
        <f>W20+SUMIF('11.1.Амортиз.нови активи'!$B$11:$B$58,$B20,'11.1.Амортиз.нови активи'!X$11:X$58)+('9.Инвестиционна програма'!J$79*SUMIF('11.1.Амортиз.нови активи'!$B$11:$B$58,$B20,'11.1.Амортиз.нови активи'!AE$11:AE$58))</f>
        <v>69.168765743073052</v>
      </c>
      <c r="Y20" s="888">
        <f>X20+SUMIF('11.1.Амортиз.нови активи'!$B$11:$B$58,$B20,'11.1.Амортиз.нови активи'!Y$11:Y$58)+('9.Инвестиционна програма'!K$79*SUMIF('11.1.Амортиз.нови активи'!$B$11:$B$58,$B20,'11.1.Амортиз.нови активи'!AF$11:AF$58))</f>
        <v>69.168765743073052</v>
      </c>
      <c r="Z20" s="1592"/>
      <c r="AA20" s="1599"/>
      <c r="AB20" s="1562"/>
    </row>
    <row r="21" spans="1:28">
      <c r="A21" s="1607"/>
      <c r="B21" s="1608">
        <v>20503</v>
      </c>
      <c r="C21" s="1600">
        <v>0.1</v>
      </c>
      <c r="D21" s="2316" t="s">
        <v>584</v>
      </c>
      <c r="E21" s="2169">
        <v>346</v>
      </c>
      <c r="F21" s="933">
        <f>E21+SUMIF('11.1.Амортиз.нови активи'!$B$11:$B$58,$B21,'11.1.Амортиз.нови активи'!F$11:F$58)+('9.Инвестиционна програма'!F$77*SUMIF('11.1.Амортиз.нови активи'!$B$11:$B$58,$B21,'11.1.Амортиз.нови активи'!AA$11:AA$58))</f>
        <v>346</v>
      </c>
      <c r="G21" s="887">
        <f>F21+SUMIF('11.1.Амортиз.нови активи'!$B$11:$B$58,$B21,'11.1.Амортиз.нови активи'!G$11:G$58)+('9.Инвестиционна програма'!G$77*SUMIF('11.1.Амортиз.нови активи'!$B$11:$B$58,$B21,'11.1.Амортиз.нови активи'!AB$11:AB$58))</f>
        <v>387.99614271938282</v>
      </c>
      <c r="H21" s="887">
        <f>G21+SUMIF('11.1.Амортиз.нови активи'!$B$11:$B$58,$B21,'11.1.Амортиз.нови активи'!H$11:H$58)+('9.Инвестиционна програма'!H$77*SUMIF('11.1.Амортиз.нови активи'!$B$11:$B$58,$B21,'11.1.Амортиз.нови активи'!AC$11:AC$58))</f>
        <v>387.99614271938282</v>
      </c>
      <c r="I21" s="887">
        <f>H21+SUMIF('11.1.Амортиз.нови активи'!$B$11:$B$58,$B21,'11.1.Амортиз.нови активи'!I$11:I$58)+('9.Инвестиционна програма'!I$77*SUMIF('11.1.Амортиз.нови активи'!$B$11:$B$58,$B21,'11.1.Амортиз.нови активи'!AD$11:AD$58))</f>
        <v>387.99614271938282</v>
      </c>
      <c r="J21" s="887">
        <f>I21+SUMIF('11.1.Амортиз.нови активи'!$B$11:$B$58,$B21,'11.1.Амортиз.нови активи'!J$11:J$58)+('9.Инвестиционна програма'!J$77*SUMIF('11.1.Амортиз.нови активи'!$B$11:$B$58,$B21,'11.1.Амортиз.нови активи'!AE$11:AE$58))</f>
        <v>387.99614271938282</v>
      </c>
      <c r="K21" s="888">
        <f>J21+SUMIF('11.1.Амортиз.нови активи'!$B$11:$B$58,$B21,'11.1.Амортиз.нови активи'!K$11:K$58)+('9.Инвестиционна програма'!K$77*SUMIF('11.1.Амортиз.нови активи'!$B$11:$B$58,$B21,'11.1.Амортиз.нови активи'!AF$11:AF$58))</f>
        <v>387.99614271938282</v>
      </c>
      <c r="L21" s="2169">
        <v>31</v>
      </c>
      <c r="M21" s="886">
        <f>L21+SUMIF('11.1.Амортиз.нови активи'!$B$11:$B$58,$B21,'11.1.Амортиз.нови активи'!M$11:M$58)+('9.Инвестиционна програма'!F$78*SUMIF('11.1.Амортиз.нови активи'!$B$11:$B$58,$B21,'11.1.Амортиз.нови активи'!AA$11:AA$58))</f>
        <v>31</v>
      </c>
      <c r="N21" s="887">
        <f>M21+SUMIF('11.1.Амортиз.нови активи'!$B$11:$B$58,$B21,'11.1.Амортиз.нови активи'!N$11:N$58)+('9.Инвестиционна програма'!G$78*SUMIF('11.1.Амортиз.нови активи'!$B$11:$B$58,$B21,'11.1.Амортиз.нови активи'!AB$11:AB$58))</f>
        <v>52.499517839922852</v>
      </c>
      <c r="O21" s="887">
        <f>N21+SUMIF('11.1.Амортиз.нови активи'!$B$11:$B$58,$B21,'11.1.Амортиз.нови активи'!O$11:O$58)+('9.Инвестиционна програма'!H$78*SUMIF('11.1.Амортиз.нови активи'!$B$11:$B$58,$B21,'11.1.Амортиз.нови активи'!AC$11:AC$58))</f>
        <v>52.499517839922852</v>
      </c>
      <c r="P21" s="887">
        <f>O21+SUMIF('11.1.Амортиз.нови активи'!$B$11:$B$58,$B21,'11.1.Амортиз.нови активи'!P$11:P$58)+('9.Инвестиционна програма'!I$78*SUMIF('11.1.Амортиз.нови активи'!$B$11:$B$58,$B21,'11.1.Амортиз.нови активи'!AD$11:AD$58))</f>
        <v>52.499517839922852</v>
      </c>
      <c r="Q21" s="887">
        <f>P21+SUMIF('11.1.Амортиз.нови активи'!$B$11:$B$58,$B21,'11.1.Амортиз.нови активи'!Q$11:Q$58)+('9.Инвестиционна програма'!J$78*SUMIF('11.1.Амортиз.нови активи'!$B$11:$B$58,$B21,'11.1.Амортиз.нови активи'!AE$11:AE$58))</f>
        <v>52.499517839922852</v>
      </c>
      <c r="R21" s="888">
        <f>Q21+SUMIF('11.1.Амортиз.нови активи'!$B$11:$B$58,$B21,'11.1.Амортиз.нови активи'!R$11:R$58)+('9.Инвестиционна програма'!K$78*SUMIF('11.1.Амортиз.нови активи'!$B$11:$B$58,$B21,'11.1.Амортиз.нови активи'!AF$11:AF$58))</f>
        <v>52.499517839922852</v>
      </c>
      <c r="S21" s="2169">
        <v>1</v>
      </c>
      <c r="T21" s="886">
        <f>S21+SUMIF('11.1.Амортиз.нови активи'!$B$11:$B$58,$B21,'11.1.Амортиз.нови активи'!T$11:T$58)+('9.Инвестиционна програма'!F$79*SUMIF('11.1.Амортиз.нови активи'!$B$11:$B$58,$B21,'11.1.Амортиз.нови активи'!AA$11:AA$58))</f>
        <v>1</v>
      </c>
      <c r="U21" s="887">
        <f>T21+SUMIF('11.1.Амортиз.нови активи'!$B$11:$B$58,$B21,'11.1.Амортиз.нови активи'!U$11:U$58)+('9.Инвестиционна програма'!G$79*SUMIF('11.1.Амортиз.нови активи'!$B$11:$B$58,$B21,'11.1.Амортиз.нови активи'!AB$11:AB$58))</f>
        <v>2.5043394406943107</v>
      </c>
      <c r="V21" s="887">
        <f>U21+SUMIF('11.1.Амортиз.нови активи'!$B$11:$B$58,$B21,'11.1.Амортиз.нови активи'!V$11:V$58)+('9.Инвестиционна програма'!H$79*SUMIF('11.1.Амортиз.нови активи'!$B$11:$B$58,$B21,'11.1.Амортиз.нови активи'!AC$11:AC$58))</f>
        <v>12.504339440694311</v>
      </c>
      <c r="W21" s="887">
        <f>V21+SUMIF('11.1.Амортиз.нови активи'!$B$11:$B$58,$B21,'11.1.Амортиз.нови активи'!W$11:W$58)+('9.Инвестиционна програма'!I$79*SUMIF('11.1.Амортиз.нови активи'!$B$11:$B$58,$B21,'11.1.Амортиз.нови активи'!AD$11:AD$58))</f>
        <v>12.504339440694311</v>
      </c>
      <c r="X21" s="887">
        <f>W21+SUMIF('11.1.Амортиз.нови активи'!$B$11:$B$58,$B21,'11.1.Амортиз.нови активи'!X$11:X$58)+('9.Инвестиционна програма'!J$79*SUMIF('11.1.Амортиз.нови активи'!$B$11:$B$58,$B21,'11.1.Амортиз.нови активи'!AE$11:AE$58))</f>
        <v>12.504339440694311</v>
      </c>
      <c r="Y21" s="888">
        <f>X21+SUMIF('11.1.Амортиз.нови активи'!$B$11:$B$58,$B21,'11.1.Амортиз.нови активи'!Y$11:Y$58)+('9.Инвестиционна програма'!K$79*SUMIF('11.1.Амортиз.нови активи'!$B$11:$B$58,$B21,'11.1.Амортиз.нови активи'!AF$11:AF$58))</f>
        <v>12.504339440694311</v>
      </c>
      <c r="Z21" s="1592"/>
      <c r="AA21" s="1599"/>
      <c r="AB21" s="1562"/>
    </row>
    <row r="22" spans="1:28">
      <c r="A22" s="1607"/>
      <c r="B22" s="1608">
        <v>20504</v>
      </c>
      <c r="C22" s="1600">
        <v>0.1</v>
      </c>
      <c r="D22" s="2316" t="s">
        <v>759</v>
      </c>
      <c r="E22" s="2169"/>
      <c r="F22" s="933">
        <f>E22+SUMIF('11.1.Амортиз.нови активи'!$B$11:$B$58,$B22,'11.1.Амортиз.нови активи'!F$11:F$58)+('9.Инвестиционна програма'!F$77*SUMIF('11.1.Амортиз.нови активи'!$B$11:$B$58,$B22,'11.1.Амортиз.нови активи'!AA$11:AA$58))</f>
        <v>0</v>
      </c>
      <c r="G22" s="887">
        <f>F22+SUMIF('11.1.Амортиз.нови активи'!$B$11:$B$58,$B22,'11.1.Амортиз.нови активи'!G$11:G$58)+('9.Инвестиционна програма'!G$77*SUMIF('11.1.Амортиз.нови активи'!$B$11:$B$58,$B22,'11.1.Амортиз.нови активи'!AB$11:AB$58))</f>
        <v>0</v>
      </c>
      <c r="H22" s="887">
        <f>G22+SUMIF('11.1.Амортиз.нови активи'!$B$11:$B$58,$B22,'11.1.Амортиз.нови активи'!H$11:H$58)+('9.Инвестиционна програма'!H$77*SUMIF('11.1.Амортиз.нови активи'!$B$11:$B$58,$B22,'11.1.Амортиз.нови активи'!AC$11:AC$58))</f>
        <v>0</v>
      </c>
      <c r="I22" s="887">
        <f>H22+SUMIF('11.1.Амортиз.нови активи'!$B$11:$B$58,$B22,'11.1.Амортиз.нови активи'!I$11:I$58)+('9.Инвестиционна програма'!I$77*SUMIF('11.1.Амортиз.нови активи'!$B$11:$B$58,$B22,'11.1.Амортиз.нови активи'!AD$11:AD$58))</f>
        <v>0</v>
      </c>
      <c r="J22" s="887">
        <f>I22+SUMIF('11.1.Амортиз.нови активи'!$B$11:$B$58,$B22,'11.1.Амортиз.нови активи'!J$11:J$58)+('9.Инвестиционна програма'!J$77*SUMIF('11.1.Амортиз.нови активи'!$B$11:$B$58,$B22,'11.1.Амортиз.нови активи'!AE$11:AE$58))</f>
        <v>0</v>
      </c>
      <c r="K22" s="888">
        <f>J22+SUMIF('11.1.Амортиз.нови активи'!$B$11:$B$58,$B22,'11.1.Амортиз.нови активи'!K$11:K$58)+('9.Инвестиционна програма'!K$77*SUMIF('11.1.Амортиз.нови активи'!$B$11:$B$58,$B22,'11.1.Амортиз.нови активи'!AF$11:AF$58))</f>
        <v>0</v>
      </c>
      <c r="L22" s="2169"/>
      <c r="M22" s="886">
        <f>L22+SUMIF('11.1.Амортиз.нови активи'!$B$11:$B$58,$B22,'11.1.Амортиз.нови активи'!M$11:M$58)+('9.Инвестиционна програма'!F$78*SUMIF('11.1.Амортиз.нови активи'!$B$11:$B$58,$B22,'11.1.Амортиз.нови активи'!AA$11:AA$58))</f>
        <v>0</v>
      </c>
      <c r="N22" s="887">
        <f>M22+SUMIF('11.1.Амортиз.нови активи'!$B$11:$B$58,$B22,'11.1.Амортиз.нови активи'!N$11:N$58)+('9.Инвестиционна програма'!G$78*SUMIF('11.1.Амортиз.нови активи'!$B$11:$B$58,$B22,'11.1.Амортиз.нови активи'!AB$11:AB$58))</f>
        <v>0</v>
      </c>
      <c r="O22" s="887">
        <f>N22+SUMIF('11.1.Амортиз.нови активи'!$B$11:$B$58,$B22,'11.1.Амортиз.нови активи'!O$11:O$58)+('9.Инвестиционна програма'!H$78*SUMIF('11.1.Амортиз.нови активи'!$B$11:$B$58,$B22,'11.1.Амортиз.нови активи'!AC$11:AC$58))</f>
        <v>0</v>
      </c>
      <c r="P22" s="887">
        <f>O22+SUMIF('11.1.Амортиз.нови активи'!$B$11:$B$58,$B22,'11.1.Амортиз.нови активи'!P$11:P$58)+('9.Инвестиционна програма'!I$78*SUMIF('11.1.Амортиз.нови активи'!$B$11:$B$58,$B22,'11.1.Амортиз.нови активи'!AD$11:AD$58))</f>
        <v>0</v>
      </c>
      <c r="Q22" s="887">
        <f>P22+SUMIF('11.1.Амортиз.нови активи'!$B$11:$B$58,$B22,'11.1.Амортиз.нови активи'!Q$11:Q$58)+('9.Инвестиционна програма'!J$78*SUMIF('11.1.Амортиз.нови активи'!$B$11:$B$58,$B22,'11.1.Амортиз.нови активи'!AE$11:AE$58))</f>
        <v>0</v>
      </c>
      <c r="R22" s="888">
        <f>Q22+SUMIF('11.1.Амортиз.нови активи'!$B$11:$B$58,$B22,'11.1.Амортиз.нови активи'!R$11:R$58)+('9.Инвестиционна програма'!K$78*SUMIF('11.1.Амортиз.нови активи'!$B$11:$B$58,$B22,'11.1.Амортиз.нови активи'!AF$11:AF$58))</f>
        <v>0</v>
      </c>
      <c r="S22" s="2169"/>
      <c r="T22" s="886">
        <f>S22+SUMIF('11.1.Амортиз.нови активи'!$B$11:$B$58,$B22,'11.1.Амортиз.нови активи'!T$11:T$58)+('9.Инвестиционна програма'!F$79*SUMIF('11.1.Амортиз.нови активи'!$B$11:$B$58,$B22,'11.1.Амортиз.нови активи'!AA$11:AA$58))</f>
        <v>0</v>
      </c>
      <c r="U22" s="887">
        <f>T22+SUMIF('11.1.Амортиз.нови активи'!$B$11:$B$58,$B22,'11.1.Амортиз.нови активи'!U$11:U$58)+('9.Инвестиционна програма'!G$79*SUMIF('11.1.Амортиз.нови активи'!$B$11:$B$58,$B22,'11.1.Амортиз.нови активи'!AB$11:AB$58))</f>
        <v>0</v>
      </c>
      <c r="V22" s="887">
        <f>U22+SUMIF('11.1.Амортиз.нови активи'!$B$11:$B$58,$B22,'11.1.Амортиз.нови активи'!V$11:V$58)+('9.Инвестиционна програма'!H$79*SUMIF('11.1.Амортиз.нови активи'!$B$11:$B$58,$B22,'11.1.Амортиз.нови активи'!AC$11:AC$58))</f>
        <v>0</v>
      </c>
      <c r="W22" s="887">
        <f>V22+SUMIF('11.1.Амортиз.нови активи'!$B$11:$B$58,$B22,'11.1.Амортиз.нови активи'!W$11:W$58)+('9.Инвестиционна програма'!I$79*SUMIF('11.1.Амортиз.нови активи'!$B$11:$B$58,$B22,'11.1.Амортиз.нови активи'!AD$11:AD$58))</f>
        <v>0</v>
      </c>
      <c r="X22" s="887">
        <f>W22+SUMIF('11.1.Амортиз.нови активи'!$B$11:$B$58,$B22,'11.1.Амортиз.нови активи'!X$11:X$58)+('9.Инвестиционна програма'!J$79*SUMIF('11.1.Амортиз.нови активи'!$B$11:$B$58,$B22,'11.1.Амортиз.нови активи'!AE$11:AE$58))</f>
        <v>0</v>
      </c>
      <c r="Y22" s="888">
        <f>X22+SUMIF('11.1.Амортиз.нови активи'!$B$11:$B$58,$B22,'11.1.Амортиз.нови активи'!Y$11:Y$58)+('9.Инвестиционна програма'!K$79*SUMIF('11.1.Амортиз.нови активи'!$B$11:$B$58,$B22,'11.1.Амортиз.нови активи'!AF$11:AF$58))</f>
        <v>0</v>
      </c>
      <c r="Z22" s="1592"/>
      <c r="AA22" s="1599"/>
      <c r="AB22" s="1562"/>
    </row>
    <row r="23" spans="1:28">
      <c r="A23" s="1607">
        <v>6</v>
      </c>
      <c r="B23" s="1608">
        <v>208</v>
      </c>
      <c r="C23" s="1600">
        <v>0.2</v>
      </c>
      <c r="D23" s="2317" t="s">
        <v>585</v>
      </c>
      <c r="E23" s="2169">
        <v>144</v>
      </c>
      <c r="F23" s="933">
        <f>E23+SUMIF('11.1.Амортиз.нови активи'!$B$11:$B$58,$B23,'11.1.Амортиз.нови активи'!F$11:F$58)+('9.Инвестиционна програма'!F$77*SUMIF('11.1.Амортиз.нови активи'!$B$11:$B$58,$B23,'11.1.Амортиз.нови активи'!AA$11:AA$58))</f>
        <v>144</v>
      </c>
      <c r="G23" s="887">
        <f>F23+SUMIF('11.1.Амортиз.нови активи'!$B$11:$B$58,$B23,'11.1.Амортиз.нови активи'!G$11:G$58)+('9.Инвестиционна програма'!G$77*SUMIF('11.1.Амортиз.нови активи'!$B$11:$B$58,$B23,'11.1.Амортиз.нови активи'!AB$11:AB$58))</f>
        <v>144</v>
      </c>
      <c r="H23" s="887">
        <f>G23+SUMIF('11.1.Амортиз.нови активи'!$B$11:$B$58,$B23,'11.1.Амортиз.нови активи'!H$11:H$58)+('9.Инвестиционна програма'!H$77*SUMIF('11.1.Амортиз.нови активи'!$B$11:$B$58,$B23,'11.1.Амортиз.нови активи'!AC$11:AC$58))</f>
        <v>192.42317380352645</v>
      </c>
      <c r="I23" s="887">
        <f>H23+SUMIF('11.1.Амортиз.нови активи'!$B$11:$B$58,$B23,'11.1.Амортиз.нови активи'!I$11:I$58)+('9.Инвестиционна програма'!I$77*SUMIF('11.1.Амортиз.нови активи'!$B$11:$B$58,$B23,'11.1.Амортиз.нови активи'!AD$11:AD$58))</f>
        <v>228.52157197286283</v>
      </c>
      <c r="J23" s="887">
        <f>I23+SUMIF('11.1.Амортиз.нови активи'!$B$11:$B$58,$B23,'11.1.Амортиз.нови активи'!J$11:J$58)+('9.Инвестиционна програма'!J$77*SUMIF('11.1.Амортиз.нови активи'!$B$11:$B$58,$B23,'11.1.Амортиз.нови активи'!AE$11:AE$58))</f>
        <v>248.25339392475667</v>
      </c>
      <c r="K23" s="888">
        <f>J23+SUMIF('11.1.Амортиз.нови активи'!$B$11:$B$58,$B23,'11.1.Амортиз.нови активи'!K$11:K$58)+('9.Инвестиционна програма'!K$77*SUMIF('11.1.Амортиз.нови активи'!$B$11:$B$58,$B23,'11.1.Амортиз.нови активи'!AF$11:AF$58))</f>
        <v>268.18275820326323</v>
      </c>
      <c r="L23" s="2169">
        <v>28</v>
      </c>
      <c r="M23" s="886">
        <f>L23+SUMIF('11.1.Амортиз.нови активи'!$B$11:$B$58,$B23,'11.1.Амортиз.нови активи'!M$11:M$58)+('9.Инвестиционна програма'!F$78*SUMIF('11.1.Амортиз.нови активи'!$B$11:$B$58,$B23,'11.1.Амортиз.нови активи'!AA$11:AA$58))</f>
        <v>28</v>
      </c>
      <c r="N23" s="887">
        <f>M23+SUMIF('11.1.Амортиз.нови активи'!$B$11:$B$58,$B23,'11.1.Амортиз.нови активи'!N$11:N$58)+('9.Инвестиционна програма'!G$78*SUMIF('11.1.Амортиз.нови активи'!$B$11:$B$58,$B23,'11.1.Амортиз.нови активи'!AB$11:AB$58))</f>
        <v>28</v>
      </c>
      <c r="O23" s="887">
        <f>N23+SUMIF('11.1.Амортиз.нови активи'!$B$11:$B$58,$B23,'11.1.Амортиз.нови активи'!O$11:O$58)+('9.Инвестиционна програма'!H$78*SUMIF('11.1.Амортиз.нови активи'!$B$11:$B$58,$B23,'11.1.Амортиз.нови активи'!AC$11:AC$58))</f>
        <v>32.685138539042825</v>
      </c>
      <c r="P23" s="887">
        <f>O23+SUMIF('11.1.Амортиз.нови активи'!$B$11:$B$58,$B23,'11.1.Амортиз.нови активи'!P$11:P$58)+('9.Инвестиционна програма'!I$78*SUMIF('11.1.Амортиз.нови активи'!$B$11:$B$58,$B23,'11.1.Амортиз.нови активи'!AD$11:AD$58))</f>
        <v>44.393757913566091</v>
      </c>
      <c r="Q23" s="887">
        <f>P23+SUMIF('11.1.Амортиз.нови активи'!$B$11:$B$58,$B23,'11.1.Амортиз.нови активи'!Q$11:Q$58)+('9.Инвестиционна програма'!J$78*SUMIF('11.1.Амортиз.нови активи'!$B$11:$B$58,$B23,'11.1.Амортиз.нови активи'!AE$11:AE$58))</f>
        <v>54.039873478951769</v>
      </c>
      <c r="R23" s="888">
        <f>Q23+SUMIF('11.1.Амортиз.нови активи'!$B$11:$B$58,$B23,'11.1.Амортиз.нови активи'!R$11:R$58)+('9.Инвестиционна програма'!K$78*SUMIF('11.1.Амортиз.нови активи'!$B$11:$B$58,$B23,'11.1.Амортиз.нови активи'!AF$11:AF$58))</f>
        <v>63.373879533442178</v>
      </c>
      <c r="S23" s="2169">
        <v>1</v>
      </c>
      <c r="T23" s="886">
        <f>S23+SUMIF('11.1.Амортиз.нови активи'!$B$11:$B$58,$B23,'11.1.Амортиз.нови активи'!T$11:T$58)+('9.Инвестиционна програма'!F$79*SUMIF('11.1.Амортиз.нови активи'!$B$11:$B$58,$B23,'11.1.Амортиз.нови активи'!AA$11:AA$58))</f>
        <v>1</v>
      </c>
      <c r="U23" s="887">
        <f>T23+SUMIF('11.1.Амортиз.нови активи'!$B$11:$B$58,$B23,'11.1.Амортиз.нови активи'!U$11:U$58)+('9.Инвестиционна програма'!G$79*SUMIF('11.1.Амортиз.нови активи'!$B$11:$B$58,$B23,'11.1.Амортиз.нови активи'!AB$11:AB$58))</f>
        <v>1</v>
      </c>
      <c r="V23" s="887">
        <f>U23+SUMIF('11.1.Амортиз.нови активи'!$B$11:$B$58,$B23,'11.1.Амортиз.нови активи'!V$11:V$58)+('9.Инвестиционна програма'!H$79*SUMIF('11.1.Амортиз.нови активи'!$B$11:$B$58,$B23,'11.1.Амортиз.нови активи'!AC$11:AC$58))</f>
        <v>7.8916876574307304</v>
      </c>
      <c r="W23" s="887">
        <f>V23+SUMIF('11.1.Амортиз.нови активи'!$B$11:$B$58,$B23,'11.1.Амортиз.нови активи'!W$11:W$58)+('9.Инвестиционна програма'!I$79*SUMIF('11.1.Амортиз.нови активи'!$B$11:$B$58,$B23,'11.1.Амортиз.нови активи'!AD$11:AD$58))</f>
        <v>10.084670113571081</v>
      </c>
      <c r="X23" s="887">
        <f>W23+SUMIF('11.1.Амортиз.нови активи'!$B$11:$B$58,$B23,'11.1.Амортиз.нови активи'!X$11:X$58)+('9.Инвестиционна програма'!J$79*SUMIF('11.1.Амортиз.нови активи'!$B$11:$B$58,$B23,'11.1.Амортиз.нови активи'!AE$11:AE$58))</f>
        <v>10.706732596291568</v>
      </c>
      <c r="Y23" s="888">
        <f>X23+SUMIF('11.1.Амортиз.нови активи'!$B$11:$B$58,$B23,'11.1.Амортиз.нови активи'!Y$11:Y$58)+('9.Инвестиционна програма'!K$79*SUMIF('11.1.Амортиз.нови активи'!$B$11:$B$58,$B23,'11.1.Амортиз.нови активи'!AF$11:AF$58))</f>
        <v>11.443362263294595</v>
      </c>
      <c r="Z23" s="1592"/>
      <c r="AA23" s="1599"/>
      <c r="AB23" s="1562"/>
    </row>
    <row r="24" spans="1:28">
      <c r="A24" s="1607">
        <v>7</v>
      </c>
      <c r="B24" s="1609">
        <v>20601</v>
      </c>
      <c r="C24" s="1600">
        <v>0.1</v>
      </c>
      <c r="D24" s="2317" t="s">
        <v>766</v>
      </c>
      <c r="E24" s="2169">
        <v>22</v>
      </c>
      <c r="F24" s="933">
        <f>E24+SUMIF('11.1.Амортиз.нови активи'!$B$11:$B$58,$B24,'11.1.Амортиз.нови активи'!F$11:F$58)+('9.Инвестиционна програма'!F$77*SUMIF('11.1.Амортиз.нови активи'!$B$11:$B$58,$B24,'11.1.Амортиз.нови активи'!AA$11:AA$58))</f>
        <v>22</v>
      </c>
      <c r="G24" s="887">
        <f>F24+SUMIF('11.1.Амортиз.нови активи'!$B$11:$B$58,$B24,'11.1.Амортиз.нови активи'!G$11:G$58)+('9.Инвестиционна програма'!G$77*SUMIF('11.1.Амортиз.нови активи'!$B$11:$B$58,$B24,'11.1.Амортиз.нови активи'!AB$11:AB$58))</f>
        <v>62.703953712632597</v>
      </c>
      <c r="H24" s="887">
        <f>G24+SUMIF('11.1.Амортиз.нови активи'!$B$11:$B$58,$B24,'11.1.Амортиз.нови активи'!H$11:H$58)+('9.Инвестиционна програма'!H$77*SUMIF('11.1.Амортиз.нови активи'!$B$11:$B$58,$B24,'11.1.Амортиз.нови активи'!AC$11:AC$58))</f>
        <v>70.774482679887001</v>
      </c>
      <c r="I24" s="887">
        <f>H24+SUMIF('11.1.Амортиз.нови активи'!$B$11:$B$58,$B24,'11.1.Амортиз.нови активи'!I$11:I$58)+('9.Инвестиционна програма'!I$77*SUMIF('11.1.Амортиз.нови активи'!$B$11:$B$58,$B24,'11.1.Амортиз.нови активи'!AD$11:AD$58))</f>
        <v>77.994162313754273</v>
      </c>
      <c r="J24" s="887">
        <f>I24+SUMIF('11.1.Амортиз.нови активи'!$B$11:$B$58,$B24,'11.1.Амортиз.нови активи'!J$11:J$58)+('9.Инвестиционна програма'!J$77*SUMIF('11.1.Амортиз.нови активи'!$B$11:$B$58,$B24,'11.1.Амортиз.нови активи'!AE$11:AE$58))</f>
        <v>84.57143629771889</v>
      </c>
      <c r="K24" s="888">
        <f>J24+SUMIF('11.1.Амортиз.нови активи'!$B$11:$B$58,$B24,'11.1.Амортиз.нови активи'!K$11:K$58)+('9.Инвестиционна програма'!K$77*SUMIF('11.1.Амортиз.нови активи'!$B$11:$B$58,$B24,'11.1.Амортиз.нови активи'!AF$11:AF$58))</f>
        <v>91.214557723887737</v>
      </c>
      <c r="L24" s="2169"/>
      <c r="M24" s="886">
        <f>L24+SUMIF('11.1.Амортиз.нови активи'!$B$11:$B$58,$B24,'11.1.Амортиз.нови активи'!M$11:M$58)+('9.Инвестиционна програма'!F$78*SUMIF('11.1.Амортиз.нови активи'!$B$11:$B$58,$B24,'11.1.Амортиз.нови активи'!AA$11:AA$58))</f>
        <v>0</v>
      </c>
      <c r="N24" s="887">
        <f>M24+SUMIF('11.1.Амортиз.нови активи'!$B$11:$B$58,$B24,'11.1.Амортиз.нови активи'!N$11:N$58)+('9.Инвестиционна програма'!G$78*SUMIF('11.1.Амортиз.нови активи'!$B$11:$B$58,$B24,'11.1.Амортиз.нови активи'!AB$11:AB$58))</f>
        <v>20.837994214079075</v>
      </c>
      <c r="O24" s="887">
        <f>N24+SUMIF('11.1.Амортиз.нови активи'!$B$11:$B$58,$B24,'11.1.Амортиз.нови активи'!O$11:O$58)+('9.Инвестиционна програма'!H$78*SUMIF('11.1.Амортиз.нови активи'!$B$11:$B$58,$B24,'11.1.Амортиз.нови активи'!AC$11:AC$58))</f>
        <v>21.618850637252876</v>
      </c>
      <c r="P24" s="887">
        <f>O24+SUMIF('11.1.Амортиз.нови активи'!$B$11:$B$58,$B24,'11.1.Амортиз.нови активи'!P$11:P$58)+('9.Инвестиционна програма'!I$78*SUMIF('11.1.Амортиз.нови активи'!$B$11:$B$58,$B24,'11.1.Амортиз.нови активи'!AD$11:AD$58))</f>
        <v>23.960574512157528</v>
      </c>
      <c r="Q24" s="887">
        <f>P24+SUMIF('11.1.Амортиз.нови активи'!$B$11:$B$58,$B24,'11.1.Амортиз.нови активи'!Q$11:Q$58)+('9.Инвестиционна програма'!J$78*SUMIF('11.1.Амортиз.нови активи'!$B$11:$B$58,$B24,'11.1.Амортиз.нови активи'!AE$11:AE$58))</f>
        <v>27.175946367286087</v>
      </c>
      <c r="R24" s="888">
        <f>Q24+SUMIF('11.1.Амортиз.нови активи'!$B$11:$B$58,$B24,'11.1.Амортиз.нови активи'!R$11:R$58)+('9.Инвестиционна програма'!K$78*SUMIF('11.1.Амортиз.нови активи'!$B$11:$B$58,$B24,'11.1.Амортиз.нови активи'!AF$11:AF$58))</f>
        <v>30.287281718782893</v>
      </c>
      <c r="S24" s="2169">
        <v>10</v>
      </c>
      <c r="T24" s="886">
        <f>S24+SUMIF('11.1.Амортиз.нови активи'!$B$11:$B$58,$B24,'11.1.Амортиз.нови активи'!T$11:T$58)+('9.Инвестиционна програма'!F$79*SUMIF('11.1.Амортиз.нови активи'!$B$11:$B$58,$B24,'11.1.Амортиз.нови активи'!AA$11:AA$58))</f>
        <v>10</v>
      </c>
      <c r="U24" s="887">
        <f>T24+SUMIF('11.1.Амортиз.нови активи'!$B$11:$B$58,$B24,'11.1.Амортиз.нови активи'!U$11:U$58)+('9.Инвестиционна програма'!G$79*SUMIF('11.1.Амортиз.нови активи'!$B$11:$B$58,$B24,'11.1.Амортиз.нови активи'!AB$11:AB$58))</f>
        <v>11.458052073288332</v>
      </c>
      <c r="V24" s="887">
        <f>U24+SUMIF('11.1.Амортиз.нови активи'!$B$11:$B$58,$B24,'11.1.Амортиз.нови активи'!V$11:V$58)+('9.Инвестиционна програма'!H$79*SUMIF('11.1.Амортиз.нови активи'!$B$11:$B$58,$B24,'11.1.Амортиз.нови активи'!AC$11:AC$58))</f>
        <v>12.606666682860121</v>
      </c>
      <c r="W24" s="887">
        <f>V24+SUMIF('11.1.Амортиз.нови активи'!$B$11:$B$58,$B24,'11.1.Амортиз.нови активи'!W$11:W$58)+('9.Инвестиционна програма'!I$79*SUMIF('11.1.Амортиз.нови активи'!$B$11:$B$58,$B24,'11.1.Амортиз.нови активи'!AD$11:AD$58))</f>
        <v>13.045263174088191</v>
      </c>
      <c r="X24" s="887">
        <f>W24+SUMIF('11.1.Амортиз.нови активи'!$B$11:$B$58,$B24,'11.1.Амортиз.нови активи'!X$11:X$58)+('9.Инвестиционна програма'!J$79*SUMIF('11.1.Амортиз.нови активи'!$B$11:$B$58,$B24,'11.1.Амортиз.нови активи'!AE$11:AE$58))</f>
        <v>13.252617334995021</v>
      </c>
      <c r="Y24" s="888">
        <f>X24+SUMIF('11.1.Амортиз.нови активи'!$B$11:$B$58,$B24,'11.1.Амортиз.нови активи'!Y$11:Y$58)+('9.Инвестиционна програма'!K$79*SUMIF('11.1.Амортиз.нови активи'!$B$11:$B$58,$B24,'11.1.Амортиз.нови активи'!AF$11:AF$58))</f>
        <v>13.498160557329363</v>
      </c>
      <c r="Z24" s="1592"/>
      <c r="AA24" s="1599"/>
      <c r="AB24" s="1562"/>
    </row>
    <row r="25" spans="1:28">
      <c r="A25" s="1610">
        <v>8</v>
      </c>
      <c r="B25" s="1609">
        <v>20602</v>
      </c>
      <c r="C25" s="1600">
        <v>0.1</v>
      </c>
      <c r="D25" s="2317" t="s">
        <v>607</v>
      </c>
      <c r="E25" s="2169">
        <v>194</v>
      </c>
      <c r="F25" s="933">
        <f>E25+SUMIF('11.1.Амортиз.нови активи'!$B$11:$B$58,$B25,'11.1.Амортиз.нови активи'!F$11:F$58)+('9.Инвестиционна програма'!F$77*SUMIF('11.1.Амортиз.нови активи'!$B$11:$B$58,$B25,'11.1.Амортиз.нови активи'!AA$11:AA$58))</f>
        <v>194</v>
      </c>
      <c r="G25" s="887">
        <f>F25+SUMIF('11.1.Амортиз.нови активи'!$B$11:$B$58,$B25,'11.1.Амортиз.нови активи'!G$11:G$58)+('9.Инвестиционна програма'!G$77*SUMIF('11.1.Амортиз.нови активи'!$B$11:$B$58,$B25,'11.1.Амортиз.нови активи'!AB$11:AB$58))</f>
        <v>194</v>
      </c>
      <c r="H25" s="887">
        <f>G25+SUMIF('11.1.Амортиз.нови активи'!$B$11:$B$58,$B25,'11.1.Амортиз.нови активи'!H$11:H$58)+('9.Инвестиционна програма'!H$77*SUMIF('11.1.Амортиз.нови активи'!$B$11:$B$58,$B25,'11.1.Амортиз.нови активи'!AC$11:AC$58))</f>
        <v>194</v>
      </c>
      <c r="I25" s="887">
        <f>H25+SUMIF('11.1.Амортиз.нови активи'!$B$11:$B$58,$B25,'11.1.Амортиз.нови активи'!I$11:I$58)+('9.Инвестиционна програма'!I$77*SUMIF('11.1.Амортиз.нови активи'!$B$11:$B$58,$B25,'11.1.Амортиз.нови активи'!AD$11:AD$58))</f>
        <v>194</v>
      </c>
      <c r="J25" s="887">
        <f>I25+SUMIF('11.1.Амортиз.нови активи'!$B$11:$B$58,$B25,'11.1.Амортиз.нови активи'!J$11:J$58)+('9.Инвестиционна програма'!J$77*SUMIF('11.1.Амортиз.нови активи'!$B$11:$B$58,$B25,'11.1.Амортиз.нови активи'!AE$11:AE$58))</f>
        <v>194</v>
      </c>
      <c r="K25" s="888">
        <f>J25+SUMIF('11.1.Амортиз.нови активи'!$B$11:$B$58,$B25,'11.1.Амортиз.нови активи'!K$11:K$58)+('9.Инвестиционна програма'!K$77*SUMIF('11.1.Амортиз.нови активи'!$B$11:$B$58,$B25,'11.1.Амортиз.нови активи'!AF$11:AF$58))</f>
        <v>194</v>
      </c>
      <c r="L25" s="2169">
        <v>41</v>
      </c>
      <c r="M25" s="886">
        <f>L25+SUMIF('11.1.Амортиз.нови активи'!$B$11:$B$58,$B25,'11.1.Амортиз.нови активи'!M$11:M$58)+('9.Инвестиционна програма'!F$78*SUMIF('11.1.Амортиз.нови активи'!$B$11:$B$58,$B25,'11.1.Амортиз.нови активи'!AA$11:AA$58))</f>
        <v>41</v>
      </c>
      <c r="N25" s="887">
        <f>M25+SUMIF('11.1.Амортиз.нови активи'!$B$11:$B$58,$B25,'11.1.Амортиз.нови активи'!N$11:N$58)+('9.Инвестиционна програма'!G$78*SUMIF('11.1.Амортиз.нови активи'!$B$11:$B$58,$B25,'11.1.Амортиз.нови активи'!AB$11:AB$58))</f>
        <v>41</v>
      </c>
      <c r="O25" s="887">
        <f>N25+SUMIF('11.1.Амортиз.нови активи'!$B$11:$B$58,$B25,'11.1.Амортиз.нови активи'!O$11:O$58)+('9.Инвестиционна програма'!H$78*SUMIF('11.1.Амортиз.нови активи'!$B$11:$B$58,$B25,'11.1.Амортиз.нови активи'!AC$11:AC$58))</f>
        <v>41</v>
      </c>
      <c r="P25" s="887">
        <f>O25+SUMIF('11.1.Амортиз.нови активи'!$B$11:$B$58,$B25,'11.1.Амортиз.нови активи'!P$11:P$58)+('9.Инвестиционна програма'!I$78*SUMIF('11.1.Амортиз.нови активи'!$B$11:$B$58,$B25,'11.1.Амортиз.нови активи'!AD$11:AD$58))</f>
        <v>41</v>
      </c>
      <c r="Q25" s="887">
        <f>P25+SUMIF('11.1.Амортиз.нови активи'!$B$11:$B$58,$B25,'11.1.Амортиз.нови активи'!Q$11:Q$58)+('9.Инвестиционна програма'!J$78*SUMIF('11.1.Амортиз.нови активи'!$B$11:$B$58,$B25,'11.1.Амортиз.нови активи'!AE$11:AE$58))</f>
        <v>41</v>
      </c>
      <c r="R25" s="888">
        <f>Q25+SUMIF('11.1.Амортиз.нови активи'!$B$11:$B$58,$B25,'11.1.Амортиз.нови активи'!R$11:R$58)+('9.Инвестиционна програма'!K$78*SUMIF('11.1.Амортиз.нови активи'!$B$11:$B$58,$B25,'11.1.Амортиз.нови активи'!AF$11:AF$58))</f>
        <v>41</v>
      </c>
      <c r="S25" s="2169">
        <v>2</v>
      </c>
      <c r="T25" s="886">
        <f>S25+SUMIF('11.1.Амортиз.нови активи'!$B$11:$B$58,$B25,'11.1.Амортиз.нови активи'!T$11:T$58)+('9.Инвестиционна програма'!F$79*SUMIF('11.1.Амортиз.нови активи'!$B$11:$B$58,$B25,'11.1.Амортиз.нови активи'!AA$11:AA$58))</f>
        <v>2</v>
      </c>
      <c r="U25" s="887">
        <f>T25+SUMIF('11.1.Амортиз.нови активи'!$B$11:$B$58,$B25,'11.1.Амортиз.нови активи'!U$11:U$58)+('9.Инвестиционна програма'!G$79*SUMIF('11.1.Амортиз.нови активи'!$B$11:$B$58,$B25,'11.1.Амортиз.нови активи'!AB$11:AB$58))</f>
        <v>2</v>
      </c>
      <c r="V25" s="887">
        <f>U25+SUMIF('11.1.Амортиз.нови активи'!$B$11:$B$58,$B25,'11.1.Амортиз.нови активи'!V$11:V$58)+('9.Инвестиционна програма'!H$79*SUMIF('11.1.Амортиз.нови активи'!$B$11:$B$58,$B25,'11.1.Амортиз.нови активи'!AC$11:AC$58))</f>
        <v>2</v>
      </c>
      <c r="W25" s="887">
        <f>V25+SUMIF('11.1.Амортиз.нови активи'!$B$11:$B$58,$B25,'11.1.Амортиз.нови активи'!W$11:W$58)+('9.Инвестиционна програма'!I$79*SUMIF('11.1.Амортиз.нови активи'!$B$11:$B$58,$B25,'11.1.Амортиз.нови активи'!AD$11:AD$58))</f>
        <v>2</v>
      </c>
      <c r="X25" s="887">
        <f>W25+SUMIF('11.1.Амортиз.нови активи'!$B$11:$B$58,$B25,'11.1.Амортиз.нови активи'!X$11:X$58)+('9.Инвестиционна програма'!J$79*SUMIF('11.1.Амортиз.нови активи'!$B$11:$B$58,$B25,'11.1.Амортиз.нови активи'!AE$11:AE$58))</f>
        <v>2</v>
      </c>
      <c r="Y25" s="888">
        <f>X25+SUMIF('11.1.Амортиз.нови активи'!$B$11:$B$58,$B25,'11.1.Амортиз.нови активи'!Y$11:Y$58)+('9.Инвестиционна програма'!K$79*SUMIF('11.1.Амортиз.нови активи'!$B$11:$B$58,$B25,'11.1.Амортиз.нови активи'!AF$11:AF$58))</f>
        <v>2</v>
      </c>
      <c r="Z25" s="1592"/>
      <c r="AA25" s="1599"/>
      <c r="AB25" s="1562"/>
    </row>
    <row r="26" spans="1:28">
      <c r="A26" s="1610">
        <v>9</v>
      </c>
      <c r="B26" s="1608">
        <v>20603</v>
      </c>
      <c r="C26" s="1600">
        <v>0.5</v>
      </c>
      <c r="D26" s="2317" t="s">
        <v>1441</v>
      </c>
      <c r="E26" s="2169"/>
      <c r="F26" s="933">
        <f>E26+SUMIF('11.1.Амортиз.нови активи'!$B$11:$B$58,$B26,'11.1.Амортиз.нови активи'!F$11:F$58)+('9.Инвестиционна програма'!F$77*SUMIF('11.1.Амортиз.нови активи'!$B$11:$B$58,$B26,'11.1.Амортиз.нови активи'!AA$11:AA$58))</f>
        <v>0</v>
      </c>
      <c r="G26" s="887">
        <f>F26+SUMIF('11.1.Амортиз.нови активи'!$B$11:$B$58,$B26,'11.1.Амортиз.нови активи'!G$11:G$58)+('9.Инвестиционна програма'!G$77*SUMIF('11.1.Амортиз.нови активи'!$B$11:$B$58,$B26,'11.1.Амортиз.нови активи'!AB$11:AB$58))</f>
        <v>0</v>
      </c>
      <c r="H26" s="887">
        <f>G26+SUMIF('11.1.Амортиз.нови активи'!$B$11:$B$58,$B26,'11.1.Амортиз.нови активи'!H$11:H$58)+('9.Инвестиционна програма'!H$77*SUMIF('11.1.Амортиз.нови активи'!$B$11:$B$58,$B26,'11.1.Амортиз.нови активи'!AC$11:AC$58))</f>
        <v>0</v>
      </c>
      <c r="I26" s="887">
        <f>H26+SUMIF('11.1.Амортиз.нови активи'!$B$11:$B$58,$B26,'11.1.Амортиз.нови активи'!I$11:I$58)+('9.Инвестиционна програма'!I$77*SUMIF('11.1.Амортиз.нови активи'!$B$11:$B$58,$B26,'11.1.Амортиз.нови активи'!AD$11:AD$58))</f>
        <v>0</v>
      </c>
      <c r="J26" s="887">
        <f>I26+SUMIF('11.1.Амортиз.нови активи'!$B$11:$B$58,$B26,'11.1.Амортиз.нови активи'!J$11:J$58)+('9.Инвестиционна програма'!J$77*SUMIF('11.1.Амортиз.нови активи'!$B$11:$B$58,$B26,'11.1.Амортиз.нови активи'!AE$11:AE$58))</f>
        <v>0</v>
      </c>
      <c r="K26" s="888">
        <f>J26+SUMIF('11.1.Амортиз.нови активи'!$B$11:$B$58,$B26,'11.1.Амортиз.нови активи'!K$11:K$58)+('9.Инвестиционна програма'!K$77*SUMIF('11.1.Амортиз.нови активи'!$B$11:$B$58,$B26,'11.1.Амортиз.нови активи'!AF$11:AF$58))</f>
        <v>0</v>
      </c>
      <c r="L26" s="2169"/>
      <c r="M26" s="886">
        <f>L26+SUMIF('11.1.Амортиз.нови активи'!$B$11:$B$58,$B26,'11.1.Амортиз.нови активи'!M$11:M$58)+('9.Инвестиционна програма'!F$78*SUMIF('11.1.Амортиз.нови активи'!$B$11:$B$58,$B26,'11.1.Амортиз.нови активи'!AA$11:AA$58))</f>
        <v>0</v>
      </c>
      <c r="N26" s="887">
        <f>M26+SUMIF('11.1.Амортиз.нови активи'!$B$11:$B$58,$B26,'11.1.Амортиз.нови активи'!N$11:N$58)+('9.Инвестиционна програма'!G$78*SUMIF('11.1.Амортиз.нови активи'!$B$11:$B$58,$B26,'11.1.Амортиз.нови активи'!AB$11:AB$58))</f>
        <v>0</v>
      </c>
      <c r="O26" s="887">
        <f>N26+SUMIF('11.1.Амортиз.нови активи'!$B$11:$B$58,$B26,'11.1.Амортиз.нови активи'!O$11:O$58)+('9.Инвестиционна програма'!H$78*SUMIF('11.1.Амортиз.нови активи'!$B$11:$B$58,$B26,'11.1.Амортиз.нови активи'!AC$11:AC$58))</f>
        <v>0</v>
      </c>
      <c r="P26" s="887">
        <f>O26+SUMIF('11.1.Амортиз.нови активи'!$B$11:$B$58,$B26,'11.1.Амортиз.нови активи'!P$11:P$58)+('9.Инвестиционна програма'!I$78*SUMIF('11.1.Амортиз.нови активи'!$B$11:$B$58,$B26,'11.1.Амортиз.нови активи'!AD$11:AD$58))</f>
        <v>0</v>
      </c>
      <c r="Q26" s="887">
        <f>P26+SUMIF('11.1.Амортиз.нови активи'!$B$11:$B$58,$B26,'11.1.Амортиз.нови активи'!Q$11:Q$58)+('9.Инвестиционна програма'!J$78*SUMIF('11.1.Амортиз.нови активи'!$B$11:$B$58,$B26,'11.1.Амортиз.нови активи'!AE$11:AE$58))</f>
        <v>0</v>
      </c>
      <c r="R26" s="888">
        <f>Q26+SUMIF('11.1.Амортиз.нови активи'!$B$11:$B$58,$B26,'11.1.Амортиз.нови активи'!R$11:R$58)+('9.Инвестиционна програма'!K$78*SUMIF('11.1.Амортиз.нови активи'!$B$11:$B$58,$B26,'11.1.Амортиз.нови активи'!AF$11:AF$58))</f>
        <v>0</v>
      </c>
      <c r="S26" s="2169"/>
      <c r="T26" s="886">
        <f>S26+SUMIF('11.1.Амортиз.нови активи'!$B$11:$B$58,$B26,'11.1.Амортиз.нови активи'!T$11:T$58)+('9.Инвестиционна програма'!F$79*SUMIF('11.1.Амортиз.нови активи'!$B$11:$B$58,$B26,'11.1.Амортиз.нови активи'!AA$11:AA$58))</f>
        <v>0</v>
      </c>
      <c r="U26" s="887">
        <f>T26+SUMIF('11.1.Амортиз.нови активи'!$B$11:$B$58,$B26,'11.1.Амортиз.нови активи'!U$11:U$58)+('9.Инвестиционна програма'!G$79*SUMIF('11.1.Амортиз.нови активи'!$B$11:$B$58,$B26,'11.1.Амортиз.нови активи'!AB$11:AB$58))</f>
        <v>0</v>
      </c>
      <c r="V26" s="887">
        <f>U26+SUMIF('11.1.Амортиз.нови активи'!$B$11:$B$58,$B26,'11.1.Амортиз.нови активи'!V$11:V$58)+('9.Инвестиционна програма'!H$79*SUMIF('11.1.Амортиз.нови активи'!$B$11:$B$58,$B26,'11.1.Амортиз.нови активи'!AC$11:AC$58))</f>
        <v>0</v>
      </c>
      <c r="W26" s="887">
        <f>V26+SUMIF('11.1.Амортиз.нови активи'!$B$11:$B$58,$B26,'11.1.Амортиз.нови активи'!W$11:W$58)+('9.Инвестиционна програма'!I$79*SUMIF('11.1.Амортиз.нови активи'!$B$11:$B$58,$B26,'11.1.Амортиз.нови активи'!AD$11:AD$58))</f>
        <v>0</v>
      </c>
      <c r="X26" s="887">
        <f>W26+SUMIF('11.1.Амортиз.нови активи'!$B$11:$B$58,$B26,'11.1.Амортиз.нови активи'!X$11:X$58)+('9.Инвестиционна програма'!J$79*SUMIF('11.1.Амортиз.нови активи'!$B$11:$B$58,$B26,'11.1.Амортиз.нови активи'!AE$11:AE$58))</f>
        <v>0</v>
      </c>
      <c r="Y26" s="888">
        <f>X26+SUMIF('11.1.Амортиз.нови активи'!$B$11:$B$58,$B26,'11.1.Амортиз.нови активи'!Y$11:Y$58)+('9.Инвестиционна програма'!K$79*SUMIF('11.1.Амортиз.нови активи'!$B$11:$B$58,$B26,'11.1.Амортиз.нови активи'!AF$11:AF$58))</f>
        <v>0</v>
      </c>
      <c r="Z26" s="1592"/>
      <c r="AA26" s="1599"/>
      <c r="AB26" s="1562"/>
    </row>
    <row r="27" spans="1:28">
      <c r="A27" s="1610">
        <v>10</v>
      </c>
      <c r="B27" s="1608">
        <v>209</v>
      </c>
      <c r="C27" s="1600">
        <v>0.1</v>
      </c>
      <c r="D27" s="2317" t="s">
        <v>276</v>
      </c>
      <c r="E27" s="2169">
        <v>2</v>
      </c>
      <c r="F27" s="933">
        <f>E27+SUMIF('11.1.Амортиз.нови активи'!$B$11:$B$58,$B27,'11.1.Амортиз.нови активи'!F$11:F$58)+('9.Инвестиционна програма'!F$77*SUMIF('11.1.Амортиз.нови активи'!$B$11:$B$58,$B27,'11.1.Амортиз.нови активи'!AA$11:AA$58))</f>
        <v>2</v>
      </c>
      <c r="G27" s="887">
        <f>F27+SUMIF('11.1.Амортиз.нови активи'!$B$11:$B$58,$B27,'11.1.Амортиз.нови активи'!G$11:G$58)+('9.Инвестиционна програма'!G$77*SUMIF('11.1.Амортиз.нови активи'!$B$11:$B$58,$B27,'11.1.Амортиз.нови активи'!AB$11:AB$58))</f>
        <v>2</v>
      </c>
      <c r="H27" s="887">
        <f>G27+SUMIF('11.1.Амортиз.нови активи'!$B$11:$B$58,$B27,'11.1.Амортиз.нови активи'!H$11:H$58)+('9.Инвестиционна програма'!H$77*SUMIF('11.1.Амортиз.нови активи'!$B$11:$B$58,$B27,'11.1.Амортиз.нови активи'!AC$11:AC$58))</f>
        <v>2</v>
      </c>
      <c r="I27" s="887">
        <f>H27+SUMIF('11.1.Амортиз.нови активи'!$B$11:$B$58,$B27,'11.1.Амортиз.нови активи'!I$11:I$58)+('9.Инвестиционна програма'!I$77*SUMIF('11.1.Амортиз.нови активи'!$B$11:$B$58,$B27,'11.1.Амортиз.нови активи'!AD$11:AD$58))</f>
        <v>2</v>
      </c>
      <c r="J27" s="887">
        <f>I27+SUMIF('11.1.Амортиз.нови активи'!$B$11:$B$58,$B27,'11.1.Амортиз.нови активи'!J$11:J$58)+('9.Инвестиционна програма'!J$77*SUMIF('11.1.Амортиз.нови активи'!$B$11:$B$58,$B27,'11.1.Амортиз.нови активи'!AE$11:AE$58))</f>
        <v>2</v>
      </c>
      <c r="K27" s="888">
        <f>J27+SUMIF('11.1.Амортиз.нови активи'!$B$11:$B$58,$B27,'11.1.Амортиз.нови активи'!K$11:K$58)+('9.Инвестиционна програма'!K$77*SUMIF('11.1.Амортиз.нови активи'!$B$11:$B$58,$B27,'11.1.Амортиз.нови активи'!AF$11:AF$58))</f>
        <v>2</v>
      </c>
      <c r="L27" s="2169"/>
      <c r="M27" s="886">
        <f>L27+SUMIF('11.1.Амортиз.нови активи'!$B$11:$B$58,$B27,'11.1.Амортиз.нови активи'!M$11:M$58)+('9.Инвестиционна програма'!F$78*SUMIF('11.1.Амортиз.нови активи'!$B$11:$B$58,$B27,'11.1.Амортиз.нови активи'!AA$11:AA$58))</f>
        <v>0</v>
      </c>
      <c r="N27" s="887">
        <f>M27+SUMIF('11.1.Амортиз.нови активи'!$B$11:$B$58,$B27,'11.1.Амортиз.нови активи'!N$11:N$58)+('9.Инвестиционна програма'!G$78*SUMIF('11.1.Амортиз.нови активи'!$B$11:$B$58,$B27,'11.1.Амортиз.нови активи'!AB$11:AB$58))</f>
        <v>0</v>
      </c>
      <c r="O27" s="887">
        <f>N27+SUMIF('11.1.Амортиз.нови активи'!$B$11:$B$58,$B27,'11.1.Амортиз.нови активи'!O$11:O$58)+('9.Инвестиционна програма'!H$78*SUMIF('11.1.Амортиз.нови активи'!$B$11:$B$58,$B27,'11.1.Амортиз.нови активи'!AC$11:AC$58))</f>
        <v>0</v>
      </c>
      <c r="P27" s="887">
        <f>O27+SUMIF('11.1.Амортиз.нови активи'!$B$11:$B$58,$B27,'11.1.Амортиз.нови активи'!P$11:P$58)+('9.Инвестиционна програма'!I$78*SUMIF('11.1.Амортиз.нови активи'!$B$11:$B$58,$B27,'11.1.Амортиз.нови активи'!AD$11:AD$58))</f>
        <v>0</v>
      </c>
      <c r="Q27" s="887">
        <f>P27+SUMIF('11.1.Амортиз.нови активи'!$B$11:$B$58,$B27,'11.1.Амортиз.нови активи'!Q$11:Q$58)+('9.Инвестиционна програма'!J$78*SUMIF('11.1.Амортиз.нови активи'!$B$11:$B$58,$B27,'11.1.Амортиз.нови активи'!AE$11:AE$58))</f>
        <v>0</v>
      </c>
      <c r="R27" s="888">
        <f>Q27+SUMIF('11.1.Амортиз.нови активи'!$B$11:$B$58,$B27,'11.1.Амортиз.нови активи'!R$11:R$58)+('9.Инвестиционна програма'!K$78*SUMIF('11.1.Амортиз.нови активи'!$B$11:$B$58,$B27,'11.1.Амортиз.нови активи'!AF$11:AF$58))</f>
        <v>0</v>
      </c>
      <c r="S27" s="2169"/>
      <c r="T27" s="886">
        <f>S27+SUMIF('11.1.Амортиз.нови активи'!$B$11:$B$58,$B27,'11.1.Амортиз.нови активи'!T$11:T$58)+('9.Инвестиционна програма'!F$79*SUMIF('11.1.Амортиз.нови активи'!$B$11:$B$58,$B27,'11.1.Амортиз.нови активи'!AA$11:AA$58))</f>
        <v>0</v>
      </c>
      <c r="U27" s="887">
        <f>T27+SUMIF('11.1.Амортиз.нови активи'!$B$11:$B$58,$B27,'11.1.Амортиз.нови активи'!U$11:U$58)+('9.Инвестиционна програма'!G$79*SUMIF('11.1.Амортиз.нови активи'!$B$11:$B$58,$B27,'11.1.Амортиз.нови активи'!AB$11:AB$58))</f>
        <v>0</v>
      </c>
      <c r="V27" s="887">
        <f>U27+SUMIF('11.1.Амортиз.нови активи'!$B$11:$B$58,$B27,'11.1.Амортиз.нови активи'!V$11:V$58)+('9.Инвестиционна програма'!H$79*SUMIF('11.1.Амортиз.нови активи'!$B$11:$B$58,$B27,'11.1.Амортиз.нови активи'!AC$11:AC$58))</f>
        <v>0</v>
      </c>
      <c r="W27" s="887">
        <f>V27+SUMIF('11.1.Амортиз.нови активи'!$B$11:$B$58,$B27,'11.1.Амортиз.нови активи'!W$11:W$58)+('9.Инвестиционна програма'!I$79*SUMIF('11.1.Амортиз.нови активи'!$B$11:$B$58,$B27,'11.1.Амортиз.нови активи'!AD$11:AD$58))</f>
        <v>0</v>
      </c>
      <c r="X27" s="887">
        <f>W27+SUMIF('11.1.Амортиз.нови активи'!$B$11:$B$58,$B27,'11.1.Амортиз.нови активи'!X$11:X$58)+('9.Инвестиционна програма'!J$79*SUMIF('11.1.Амортиз.нови активи'!$B$11:$B$58,$B27,'11.1.Амортиз.нови активи'!AE$11:AE$58))</f>
        <v>0</v>
      </c>
      <c r="Y27" s="888">
        <f>X27+SUMIF('11.1.Амортиз.нови активи'!$B$11:$B$58,$B27,'11.1.Амортиз.нови активи'!Y$11:Y$58)+('9.Инвестиционна програма'!K$79*SUMIF('11.1.Амортиз.нови активи'!$B$11:$B$58,$B27,'11.1.Амортиз.нови активи'!AF$11:AF$58))</f>
        <v>0</v>
      </c>
      <c r="Z27" s="1592"/>
      <c r="AA27" s="1599"/>
      <c r="AB27" s="1562"/>
    </row>
    <row r="28" spans="1:28" ht="24">
      <c r="A28" s="1610">
        <v>11</v>
      </c>
      <c r="B28" s="1608">
        <v>207</v>
      </c>
      <c r="C28" s="1608" t="s">
        <v>380</v>
      </c>
      <c r="D28" s="2319" t="s">
        <v>586</v>
      </c>
      <c r="E28" s="2169">
        <v>420</v>
      </c>
      <c r="F28" s="933">
        <f>E28+SUMIF('11.1.Амортиз.нови активи'!$B$11:$B$58,$B28,'11.1.Амортиз.нови активи'!F$11:F$58)+('9.Инвестиционна програма'!F$77*SUMIF('11.1.Амортиз.нови активи'!$B$11:$B$58,$B28,'11.1.Амортиз.нови активи'!AA$11:AA$58))</f>
        <v>420</v>
      </c>
      <c r="G28" s="887">
        <f>F28+SUMIF('11.1.Амортиз.нови активи'!$B$11:$B$58,$B28,'11.1.Амортиз.нови активи'!G$11:G$58)+('9.Инвестиционна програма'!G$77*SUMIF('11.1.Амортиз.нови активи'!$B$11:$B$58,$B28,'11.1.Амортиз.нови активи'!AB$11:AB$58))</f>
        <v>420</v>
      </c>
      <c r="H28" s="887">
        <f>G28+SUMIF('11.1.Амортиз.нови активи'!$B$11:$B$58,$B28,'11.1.Амортиз.нови активи'!H$11:H$58)+('9.Инвестиционна програма'!H$77*SUMIF('11.1.Амортиз.нови активи'!$B$11:$B$58,$B28,'11.1.Амортиз.нови активи'!AC$11:AC$58))</f>
        <v>420</v>
      </c>
      <c r="I28" s="887">
        <f>H28+SUMIF('11.1.Амортиз.нови активи'!$B$11:$B$58,$B28,'11.1.Амортиз.нови активи'!I$11:I$58)+('9.Инвестиционна програма'!I$77*SUMIF('11.1.Амортиз.нови активи'!$B$11:$B$58,$B28,'11.1.Амортиз.нови активи'!AD$11:AD$58))</f>
        <v>420</v>
      </c>
      <c r="J28" s="887">
        <f>I28+SUMIF('11.1.Амортиз.нови активи'!$B$11:$B$58,$B28,'11.1.Амортиз.нови активи'!J$11:J$58)+('9.Инвестиционна програма'!J$77*SUMIF('11.1.Амортиз.нови активи'!$B$11:$B$58,$B28,'11.1.Амортиз.нови активи'!AE$11:AE$58))</f>
        <v>420</v>
      </c>
      <c r="K28" s="888">
        <f>J28+SUMIF('11.1.Амортиз.нови активи'!$B$11:$B$58,$B28,'11.1.Амортиз.нови активи'!K$11:K$58)+('9.Инвестиционна програма'!K$77*SUMIF('11.1.Амортиз.нови активи'!$B$11:$B$58,$B28,'11.1.Амортиз.нови активи'!AF$11:AF$58))</f>
        <v>420</v>
      </c>
      <c r="L28" s="2169"/>
      <c r="M28" s="886">
        <f>L28+SUMIF('11.1.Амортиз.нови активи'!$B$11:$B$58,$B28,'11.1.Амортиз.нови активи'!M$11:M$58)+('9.Инвестиционна програма'!F$78*SUMIF('11.1.Амортиз.нови активи'!$B$11:$B$58,$B28,'11.1.Амортиз.нови активи'!AA$11:AA$58))</f>
        <v>0</v>
      </c>
      <c r="N28" s="887">
        <f>M28+SUMIF('11.1.Амортиз.нови активи'!$B$11:$B$58,$B28,'11.1.Амортиз.нови активи'!N$11:N$58)+('9.Инвестиционна програма'!G$78*SUMIF('11.1.Амортиз.нови активи'!$B$11:$B$58,$B28,'11.1.Амортиз.нови активи'!AB$11:AB$58))</f>
        <v>0</v>
      </c>
      <c r="O28" s="887">
        <f>N28+SUMIF('11.1.Амортиз.нови активи'!$B$11:$B$58,$B28,'11.1.Амортиз.нови активи'!O$11:O$58)+('9.Инвестиционна програма'!H$78*SUMIF('11.1.Амортиз.нови активи'!$B$11:$B$58,$B28,'11.1.Амортиз.нови активи'!AC$11:AC$58))</f>
        <v>0</v>
      </c>
      <c r="P28" s="887">
        <f>O28+SUMIF('11.1.Амортиз.нови активи'!$B$11:$B$58,$B28,'11.1.Амортиз.нови активи'!P$11:P$58)+('9.Инвестиционна програма'!I$78*SUMIF('11.1.Амортиз.нови активи'!$B$11:$B$58,$B28,'11.1.Амортиз.нови активи'!AD$11:AD$58))</f>
        <v>0</v>
      </c>
      <c r="Q28" s="887">
        <f>P28+SUMIF('11.1.Амортиз.нови активи'!$B$11:$B$58,$B28,'11.1.Амортиз.нови активи'!Q$11:Q$58)+('9.Инвестиционна програма'!J$78*SUMIF('11.1.Амортиз.нови активи'!$B$11:$B$58,$B28,'11.1.Амортиз.нови активи'!AE$11:AE$58))</f>
        <v>0</v>
      </c>
      <c r="R28" s="888">
        <f>Q28+SUMIF('11.1.Амортиз.нови активи'!$B$11:$B$58,$B28,'11.1.Амортиз.нови активи'!R$11:R$58)+('9.Инвестиционна програма'!K$78*SUMIF('11.1.Амортиз.нови активи'!$B$11:$B$58,$B28,'11.1.Амортиз.нови активи'!AF$11:AF$58))</f>
        <v>0</v>
      </c>
      <c r="S28" s="2169"/>
      <c r="T28" s="886">
        <f>S28+SUMIF('11.1.Амортиз.нови активи'!$B$11:$B$58,$B28,'11.1.Амортиз.нови активи'!T$11:T$58)+('9.Инвестиционна програма'!F$79*SUMIF('11.1.Амортиз.нови активи'!$B$11:$B$58,$B28,'11.1.Амортиз.нови активи'!AA$11:AA$58))</f>
        <v>0</v>
      </c>
      <c r="U28" s="887">
        <f>T28+SUMIF('11.1.Амортиз.нови активи'!$B$11:$B$58,$B28,'11.1.Амортиз.нови активи'!U$11:U$58)+('9.Инвестиционна програма'!G$79*SUMIF('11.1.Амортиз.нови активи'!$B$11:$B$58,$B28,'11.1.Амортиз.нови активи'!AB$11:AB$58))</f>
        <v>0</v>
      </c>
      <c r="V28" s="887">
        <f>U28+SUMIF('11.1.Амортиз.нови активи'!$B$11:$B$58,$B28,'11.1.Амортиз.нови активи'!V$11:V$58)+('9.Инвестиционна програма'!H$79*SUMIF('11.1.Амортиз.нови активи'!$B$11:$B$58,$B28,'11.1.Амортиз.нови активи'!AC$11:AC$58))</f>
        <v>0</v>
      </c>
      <c r="W28" s="887">
        <f>V28+SUMIF('11.1.Амортиз.нови активи'!$B$11:$B$58,$B28,'11.1.Амортиз.нови активи'!W$11:W$58)+('9.Инвестиционна програма'!I$79*SUMIF('11.1.Амортиз.нови активи'!$B$11:$B$58,$B28,'11.1.Амортиз.нови активи'!AD$11:AD$58))</f>
        <v>0</v>
      </c>
      <c r="X28" s="887">
        <f>W28+SUMIF('11.1.Амортиз.нови активи'!$B$11:$B$58,$B28,'11.1.Амортиз.нови активи'!X$11:X$58)+('9.Инвестиционна програма'!J$79*SUMIF('11.1.Амортиз.нови активи'!$B$11:$B$58,$B28,'11.1.Амортиз.нови активи'!AE$11:AE$58))</f>
        <v>0</v>
      </c>
      <c r="Y28" s="888">
        <f>X28+SUMIF('11.1.Амортиз.нови активи'!$B$11:$B$58,$B28,'11.1.Амортиз.нови активи'!Y$11:Y$58)+('9.Инвестиционна програма'!K$79*SUMIF('11.1.Амортиз.нови активи'!$B$11:$B$58,$B28,'11.1.Амортиз.нови активи'!AF$11:AF$58))</f>
        <v>0</v>
      </c>
      <c r="Z28" s="1592"/>
      <c r="AA28" s="1599"/>
      <c r="AB28" s="1562"/>
    </row>
    <row r="29" spans="1:28">
      <c r="A29" s="1610">
        <v>12</v>
      </c>
      <c r="B29" s="1608">
        <v>212</v>
      </c>
      <c r="C29" s="1600">
        <v>0.2</v>
      </c>
      <c r="D29" s="2320" t="s">
        <v>277</v>
      </c>
      <c r="E29" s="2169">
        <v>293</v>
      </c>
      <c r="F29" s="933">
        <f>E29+SUMIF('11.1.Амортиз.нови активи'!$B$11:$B$58,$B29,'11.1.Амортиз.нови активи'!F$11:F$58)+('9.Инвестиционна програма'!F$77*SUMIF('11.1.Амортиз.нови активи'!$B$11:$B$58,$B29,'11.1.Амортиз.нови активи'!AA$11:AA$58))</f>
        <v>293</v>
      </c>
      <c r="G29" s="887">
        <f>F29+SUMIF('11.1.Амортиз.нови активи'!$B$11:$B$58,$B29,'11.1.Амортиз.нови активи'!G$11:G$58)+('9.Инвестиционна програма'!G$77*SUMIF('11.1.Амортиз.нови активи'!$B$11:$B$58,$B29,'11.1.Амортиз.нови активи'!AB$11:AB$58))</f>
        <v>293</v>
      </c>
      <c r="H29" s="887">
        <f>G29+SUMIF('11.1.Амортиз.нови активи'!$B$11:$B$58,$B29,'11.1.Амортиз.нови активи'!H$11:H$58)+('9.Инвестиционна програма'!H$77*SUMIF('11.1.Амортиз.нови активи'!$B$11:$B$58,$B29,'11.1.Амортиз.нови активи'!AC$11:AC$58))</f>
        <v>333.35264483627202</v>
      </c>
      <c r="I29" s="887">
        <f>H29+SUMIF('11.1.Амортиз.нови активи'!$B$11:$B$58,$B29,'11.1.Амортиз.нови активи'!I$11:I$58)+('9.Инвестиционна програма'!I$77*SUMIF('11.1.Амортиз.нови активи'!$B$11:$B$58,$B29,'11.1.Амортиз.нови активи'!AD$11:AD$58))</f>
        <v>333.35264483627202</v>
      </c>
      <c r="J29" s="887">
        <f>I29+SUMIF('11.1.Амортиз.нови активи'!$B$11:$B$58,$B29,'11.1.Амортиз.нови активи'!J$11:J$58)+('9.Инвестиционна програма'!J$77*SUMIF('11.1.Амортиз.нови активи'!$B$11:$B$58,$B29,'11.1.Амортиз.нови активи'!AE$11:AE$58))</f>
        <v>333.35264483627202</v>
      </c>
      <c r="K29" s="888">
        <f>J29+SUMIF('11.1.Амортиз.нови активи'!$B$11:$B$58,$B29,'11.1.Амортиз.нови активи'!K$11:K$58)+('9.Инвестиционна програма'!K$77*SUMIF('11.1.Амортиз.нови активи'!$B$11:$B$58,$B29,'11.1.Амортиз.нови активи'!AF$11:AF$58))</f>
        <v>333.35264483627202</v>
      </c>
      <c r="L29" s="2169">
        <v>62</v>
      </c>
      <c r="M29" s="886">
        <f>L29+SUMIF('11.1.Амортиз.нови активи'!$B$11:$B$58,$B29,'11.1.Амортиз.нови активи'!M$11:M$58)+('9.Инвестиционна програма'!F$78*SUMIF('11.1.Амортиз.нови активи'!$B$11:$B$58,$B29,'11.1.Амортиз.нови активи'!AA$11:AA$58))</f>
        <v>62</v>
      </c>
      <c r="N29" s="887">
        <f>M29+SUMIF('11.1.Амортиз.нови активи'!$B$11:$B$58,$B29,'11.1.Амортиз.нови активи'!N$11:N$58)+('9.Инвестиционна програма'!G$78*SUMIF('11.1.Амортиз.нови активи'!$B$11:$B$58,$B29,'11.1.Амортиз.нови активи'!AB$11:AB$58))</f>
        <v>62</v>
      </c>
      <c r="O29" s="887">
        <f>N29+SUMIF('11.1.Амортиз.нови активи'!$B$11:$B$58,$B29,'11.1.Амортиз.нови активи'!O$11:O$58)+('9.Инвестиционна програма'!H$78*SUMIF('11.1.Амортиз.нови активи'!$B$11:$B$58,$B29,'11.1.Амортиз.нови активи'!AC$11:AC$58))</f>
        <v>65.904282115869023</v>
      </c>
      <c r="P29" s="887">
        <f>O29+SUMIF('11.1.Амортиз.нови активи'!$B$11:$B$58,$B29,'11.1.Амортиз.нови активи'!P$11:P$58)+('9.Инвестиционна програма'!I$78*SUMIF('11.1.Амортиз.нови активи'!$B$11:$B$58,$B29,'11.1.Амортиз.нови активи'!AD$11:AD$58))</f>
        <v>65.904282115869023</v>
      </c>
      <c r="Q29" s="887">
        <f>P29+SUMIF('11.1.Амортиз.нови активи'!$B$11:$B$58,$B29,'11.1.Амортиз.нови активи'!Q$11:Q$58)+('9.Инвестиционна програма'!J$78*SUMIF('11.1.Амортиз.нови активи'!$B$11:$B$58,$B29,'11.1.Амортиз.нови активи'!AE$11:AE$58))</f>
        <v>65.904282115869023</v>
      </c>
      <c r="R29" s="888">
        <f>Q29+SUMIF('11.1.Амортиз.нови активи'!$B$11:$B$58,$B29,'11.1.Амортиз.нови активи'!R$11:R$58)+('9.Инвестиционна програма'!K$78*SUMIF('11.1.Амортиз.нови активи'!$B$11:$B$58,$B29,'11.1.Амортиз.нови активи'!AF$11:AF$58))</f>
        <v>65.904282115869023</v>
      </c>
      <c r="S29" s="2169">
        <v>3</v>
      </c>
      <c r="T29" s="886">
        <f>S29+SUMIF('11.1.Амортиз.нови активи'!$B$11:$B$58,$B29,'11.1.Амортиз.нови активи'!T$11:T$58)+('9.Инвестиционна програма'!F$79*SUMIF('11.1.Амортиз.нови активи'!$B$11:$B$58,$B29,'11.1.Амортиз.нови активи'!AA$11:AA$58))</f>
        <v>3</v>
      </c>
      <c r="U29" s="887">
        <f>T29+SUMIF('11.1.Амортиз.нови активи'!$B$11:$B$58,$B29,'11.1.Амортиз.нови активи'!U$11:U$58)+('9.Инвестиционна програма'!G$79*SUMIF('11.1.Амортиз.нови активи'!$B$11:$B$58,$B29,'11.1.Амортиз.нови активи'!AB$11:AB$58))</f>
        <v>3</v>
      </c>
      <c r="V29" s="887">
        <f>U29+SUMIF('11.1.Амортиз.нови активи'!$B$11:$B$58,$B29,'11.1.Амортиз.нови активи'!V$11:V$58)+('9.Инвестиционна програма'!H$79*SUMIF('11.1.Амортиз.нови активи'!$B$11:$B$58,$B29,'11.1.Амортиз.нови активи'!AC$11:AC$58))</f>
        <v>8.7430730478589425</v>
      </c>
      <c r="W29" s="887">
        <f>V29+SUMIF('11.1.Амортиз.нови активи'!$B$11:$B$58,$B29,'11.1.Амортиз.нови активи'!W$11:W$58)+('9.Инвестиционна програма'!I$79*SUMIF('11.1.Амортиз.нови активи'!$B$11:$B$58,$B29,'11.1.Амортиз.нови активи'!AD$11:AD$58))</f>
        <v>8.7430730478589425</v>
      </c>
      <c r="X29" s="887">
        <f>W29+SUMIF('11.1.Амортиз.нови активи'!$B$11:$B$58,$B29,'11.1.Амортиз.нови активи'!X$11:X$58)+('9.Инвестиционна програма'!J$79*SUMIF('11.1.Амортиз.нови активи'!$B$11:$B$58,$B29,'11.1.Амортиз.нови активи'!AE$11:AE$58))</f>
        <v>8.7430730478589425</v>
      </c>
      <c r="Y29" s="888">
        <f>X29+SUMIF('11.1.Амортиз.нови активи'!$B$11:$B$58,$B29,'11.1.Амортиз.нови активи'!Y$11:Y$58)+('9.Инвестиционна програма'!K$79*SUMIF('11.1.Амортиз.нови активи'!$B$11:$B$58,$B29,'11.1.Амортиз.нови активи'!AF$11:AF$58))</f>
        <v>8.7430730478589425</v>
      </c>
      <c r="Z29" s="1592"/>
      <c r="AA29" s="1599"/>
      <c r="AB29" s="1562"/>
    </row>
    <row r="30" spans="1:28">
      <c r="A30" s="1610">
        <v>13</v>
      </c>
      <c r="B30" s="1607">
        <v>213</v>
      </c>
      <c r="C30" s="1611">
        <v>0.2</v>
      </c>
      <c r="D30" s="2315" t="s">
        <v>278</v>
      </c>
      <c r="E30" s="2169"/>
      <c r="F30" s="933">
        <f>E30+SUMIF('11.1.Амортиз.нови активи'!$B$11:$B$58,$B30,'11.1.Амортиз.нови активи'!F$11:F$58)+('9.Инвестиционна програма'!F$77*SUMIF('11.1.Амортиз.нови активи'!$B$11:$B$58,$B30,'11.1.Амортиз.нови активи'!AA$11:AA$58))</f>
        <v>0</v>
      </c>
      <c r="G30" s="887">
        <f>F30+SUMIF('11.1.Амортиз.нови активи'!$B$11:$B$58,$B30,'11.1.Амортиз.нови активи'!G$11:G$58)+('9.Инвестиционна програма'!G$77*SUMIF('11.1.Амортиз.нови активи'!$B$11:$B$58,$B30,'11.1.Амортиз.нови активи'!AB$11:AB$58))</f>
        <v>0</v>
      </c>
      <c r="H30" s="887">
        <f>G30+SUMIF('11.1.Амортиз.нови активи'!$B$11:$B$58,$B30,'11.1.Амортиз.нови активи'!H$11:H$58)+('9.Инвестиционна програма'!H$77*SUMIF('11.1.Амортиз.нови активи'!$B$11:$B$58,$B30,'11.1.Амортиз.нови активи'!AC$11:AC$58))</f>
        <v>0</v>
      </c>
      <c r="I30" s="887">
        <f>H30+SUMIF('11.1.Амортиз.нови активи'!$B$11:$B$58,$B30,'11.1.Амортиз.нови активи'!I$11:I$58)+('9.Инвестиционна програма'!I$77*SUMIF('11.1.Амортиз.нови активи'!$B$11:$B$58,$B30,'11.1.Амортиз.нови активи'!AD$11:AD$58))</f>
        <v>0</v>
      </c>
      <c r="J30" s="887">
        <f>I30+SUMIF('11.1.Амортиз.нови активи'!$B$11:$B$58,$B30,'11.1.Амортиз.нови активи'!J$11:J$58)+('9.Инвестиционна програма'!J$77*SUMIF('11.1.Амортиз.нови активи'!$B$11:$B$58,$B30,'11.1.Амортиз.нови активи'!AE$11:AE$58))</f>
        <v>0</v>
      </c>
      <c r="K30" s="888">
        <f>J30+SUMIF('11.1.Амортиз.нови активи'!$B$11:$B$58,$B30,'11.1.Амортиз.нови активи'!K$11:K$58)+('9.Инвестиционна програма'!K$77*SUMIF('11.1.Амортиз.нови активи'!$B$11:$B$58,$B30,'11.1.Амортиз.нови активи'!AF$11:AF$58))</f>
        <v>0</v>
      </c>
      <c r="L30" s="2169"/>
      <c r="M30" s="886">
        <f>L30+SUMIF('11.1.Амортиз.нови активи'!$B$11:$B$58,$B30,'11.1.Амортиз.нови активи'!M$11:M$58)+('9.Инвестиционна програма'!F$78*SUMIF('11.1.Амортиз.нови активи'!$B$11:$B$58,$B30,'11.1.Амортиз.нови активи'!AA$11:AA$58))</f>
        <v>0</v>
      </c>
      <c r="N30" s="887">
        <f>M30+SUMIF('11.1.Амортиз.нови активи'!$B$11:$B$58,$B30,'11.1.Амортиз.нови активи'!N$11:N$58)+('9.Инвестиционна програма'!G$78*SUMIF('11.1.Амортиз.нови активи'!$B$11:$B$58,$B30,'11.1.Амортиз.нови активи'!AB$11:AB$58))</f>
        <v>0</v>
      </c>
      <c r="O30" s="887">
        <f>N30+SUMIF('11.1.Амортиз.нови активи'!$B$11:$B$58,$B30,'11.1.Амортиз.нови активи'!O$11:O$58)+('9.Инвестиционна програма'!H$78*SUMIF('11.1.Амортиз.нови активи'!$B$11:$B$58,$B30,'11.1.Амортиз.нови активи'!AC$11:AC$58))</f>
        <v>0</v>
      </c>
      <c r="P30" s="887">
        <f>O30+SUMIF('11.1.Амортиз.нови активи'!$B$11:$B$58,$B30,'11.1.Амортиз.нови активи'!P$11:P$58)+('9.Инвестиционна програма'!I$78*SUMIF('11.1.Амортиз.нови активи'!$B$11:$B$58,$B30,'11.1.Амортиз.нови активи'!AD$11:AD$58))</f>
        <v>0</v>
      </c>
      <c r="Q30" s="887">
        <f>P30+SUMIF('11.1.Амортиз.нови активи'!$B$11:$B$58,$B30,'11.1.Амортиз.нови активи'!Q$11:Q$58)+('9.Инвестиционна програма'!J$78*SUMIF('11.1.Амортиз.нови активи'!$B$11:$B$58,$B30,'11.1.Амортиз.нови активи'!AE$11:AE$58))</f>
        <v>0</v>
      </c>
      <c r="R30" s="888">
        <f>Q30+SUMIF('11.1.Амортиз.нови активи'!$B$11:$B$58,$B30,'11.1.Амортиз.нови активи'!R$11:R$58)+('9.Инвестиционна програма'!K$78*SUMIF('11.1.Амортиз.нови активи'!$B$11:$B$58,$B30,'11.1.Амортиз.нови активи'!AF$11:AF$58))</f>
        <v>0</v>
      </c>
      <c r="S30" s="2169"/>
      <c r="T30" s="886">
        <f>S30+SUMIF('11.1.Амортиз.нови активи'!$B$11:$B$58,$B30,'11.1.Амортиз.нови активи'!T$11:T$58)+('9.Инвестиционна програма'!F$79*SUMIF('11.1.Амортиз.нови активи'!$B$11:$B$58,$B30,'11.1.Амортиз.нови активи'!AA$11:AA$58))</f>
        <v>0</v>
      </c>
      <c r="U30" s="887">
        <f>T30+SUMIF('11.1.Амортиз.нови активи'!$B$11:$B$58,$B30,'11.1.Амортиз.нови активи'!U$11:U$58)+('9.Инвестиционна програма'!G$79*SUMIF('11.1.Амортиз.нови активи'!$B$11:$B$58,$B30,'11.1.Амортиз.нови активи'!AB$11:AB$58))</f>
        <v>0</v>
      </c>
      <c r="V30" s="887">
        <f>U30+SUMIF('11.1.Амортиз.нови активи'!$B$11:$B$58,$B30,'11.1.Амортиз.нови активи'!V$11:V$58)+('9.Инвестиционна програма'!H$79*SUMIF('11.1.Амортиз.нови активи'!$B$11:$B$58,$B30,'11.1.Амортиз.нови активи'!AC$11:AC$58))</f>
        <v>0</v>
      </c>
      <c r="W30" s="887">
        <f>V30+SUMIF('11.1.Амортиз.нови активи'!$B$11:$B$58,$B30,'11.1.Амортиз.нови активи'!W$11:W$58)+('9.Инвестиционна програма'!I$79*SUMIF('11.1.Амортиз.нови активи'!$B$11:$B$58,$B30,'11.1.Амортиз.нови активи'!AD$11:AD$58))</f>
        <v>0</v>
      </c>
      <c r="X30" s="887">
        <f>W30+SUMIF('11.1.Амортиз.нови активи'!$B$11:$B$58,$B30,'11.1.Амортиз.нови активи'!X$11:X$58)+('9.Инвестиционна програма'!J$79*SUMIF('11.1.Амортиз.нови активи'!$B$11:$B$58,$B30,'11.1.Амортиз.нови активи'!AE$11:AE$58))</f>
        <v>0</v>
      </c>
      <c r="Y30" s="888">
        <f>X30+SUMIF('11.1.Амортиз.нови активи'!$B$11:$B$58,$B30,'11.1.Амортиз.нови активи'!Y$11:Y$58)+('9.Инвестиционна програма'!K$79*SUMIF('11.1.Амортиз.нови активи'!$B$11:$B$58,$B30,'11.1.Амортиз.нови активи'!AF$11:AF$58))</f>
        <v>0</v>
      </c>
      <c r="Z30" s="1592"/>
      <c r="AA30" s="1599"/>
      <c r="AB30" s="1562"/>
    </row>
    <row r="31" spans="1:28">
      <c r="A31" s="1610">
        <v>14</v>
      </c>
      <c r="B31" s="1612"/>
      <c r="C31" s="1612"/>
      <c r="D31" s="2321" t="s">
        <v>844</v>
      </c>
      <c r="E31" s="2169"/>
      <c r="F31" s="933">
        <f>E31+SUMIF('11.1.Амортиз.нови активи'!$B$11:$B$58,$B31,'11.1.Амортиз.нови активи'!F$11:F$58)+('9.Инвестиционна програма'!F$77*SUMIF('11.1.Амортиз.нови активи'!$B$11:$B$58,$B31,'11.1.Амортиз.нови активи'!AA$11:AA$58))</f>
        <v>0</v>
      </c>
      <c r="G31" s="887">
        <f>F31+SUMIF('11.1.Амортиз.нови активи'!$B$11:$B$58,$B31,'11.1.Амортиз.нови активи'!G$11:G$58)+('9.Инвестиционна програма'!G$77*SUMIF('11.1.Амортиз.нови активи'!$B$11:$B$58,$B31,'11.1.Амортиз.нови активи'!AB$11:AB$58))</f>
        <v>0</v>
      </c>
      <c r="H31" s="887">
        <f>G31+SUMIF('11.1.Амортиз.нови активи'!$B$11:$B$58,$B31,'11.1.Амортиз.нови активи'!H$11:H$58)+('9.Инвестиционна програма'!H$77*SUMIF('11.1.Амортиз.нови активи'!$B$11:$B$58,$B31,'11.1.Амортиз.нови активи'!AC$11:AC$58))</f>
        <v>0</v>
      </c>
      <c r="I31" s="887">
        <f>H31+SUMIF('11.1.Амортиз.нови активи'!$B$11:$B$58,$B31,'11.1.Амортиз.нови активи'!I$11:I$58)+('9.Инвестиционна програма'!I$77*SUMIF('11.1.Амортиз.нови активи'!$B$11:$B$58,$B31,'11.1.Амортиз.нови активи'!AD$11:AD$58))</f>
        <v>0</v>
      </c>
      <c r="J31" s="887">
        <f>I31+SUMIF('11.1.Амортиз.нови активи'!$B$11:$B$58,$B31,'11.1.Амортиз.нови активи'!J$11:J$58)+('9.Инвестиционна програма'!J$77*SUMIF('11.1.Амортиз.нови активи'!$B$11:$B$58,$B31,'11.1.Амортиз.нови активи'!AE$11:AE$58))</f>
        <v>0</v>
      </c>
      <c r="K31" s="888">
        <f>J31+SUMIF('11.1.Амортиз.нови активи'!$B$11:$B$58,$B31,'11.1.Амортиз.нови активи'!K$11:K$58)+('9.Инвестиционна програма'!K$77*SUMIF('11.1.Амортиз.нови активи'!$B$11:$B$58,$B31,'11.1.Амортиз.нови активи'!AF$11:AF$58))</f>
        <v>0</v>
      </c>
      <c r="L31" s="2169"/>
      <c r="M31" s="886">
        <f>L31+SUMIF('11.1.Амортиз.нови активи'!$B$11:$B$58,$B31,'11.1.Амортиз.нови активи'!M$11:M$58)+('9.Инвестиционна програма'!F$78*SUMIF('11.1.Амортиз.нови активи'!$B$11:$B$58,$B31,'11.1.Амортиз.нови активи'!AA$11:AA$58))</f>
        <v>0</v>
      </c>
      <c r="N31" s="887">
        <f>M31+SUMIF('11.1.Амортиз.нови активи'!$B$11:$B$58,$B31,'11.1.Амортиз.нови активи'!N$11:N$58)+('9.Инвестиционна програма'!G$78*SUMIF('11.1.Амортиз.нови активи'!$B$11:$B$58,$B31,'11.1.Амортиз.нови активи'!AB$11:AB$58))</f>
        <v>0</v>
      </c>
      <c r="O31" s="887">
        <f>N31+SUMIF('11.1.Амортиз.нови активи'!$B$11:$B$58,$B31,'11.1.Амортиз.нови активи'!O$11:O$58)+('9.Инвестиционна програма'!H$78*SUMIF('11.1.Амортиз.нови активи'!$B$11:$B$58,$B31,'11.1.Амортиз.нови активи'!AC$11:AC$58))</f>
        <v>0</v>
      </c>
      <c r="P31" s="887">
        <f>O31+SUMIF('11.1.Амортиз.нови активи'!$B$11:$B$58,$B31,'11.1.Амортиз.нови активи'!P$11:P$58)+('9.Инвестиционна програма'!I$78*SUMIF('11.1.Амортиз.нови активи'!$B$11:$B$58,$B31,'11.1.Амортиз.нови активи'!AD$11:AD$58))</f>
        <v>0</v>
      </c>
      <c r="Q31" s="887">
        <f>P31+SUMIF('11.1.Амортиз.нови активи'!$B$11:$B$58,$B31,'11.1.Амортиз.нови активи'!Q$11:Q$58)+('9.Инвестиционна програма'!J$78*SUMIF('11.1.Амортиз.нови активи'!$B$11:$B$58,$B31,'11.1.Амортиз.нови активи'!AE$11:AE$58))</f>
        <v>0</v>
      </c>
      <c r="R31" s="888">
        <f>Q31+SUMIF('11.1.Амортиз.нови активи'!$B$11:$B$58,$B31,'11.1.Амортиз.нови активи'!R$11:R$58)+('9.Инвестиционна програма'!K$78*SUMIF('11.1.Амортиз.нови активи'!$B$11:$B$58,$B31,'11.1.Амортиз.нови активи'!AF$11:AF$58))</f>
        <v>0</v>
      </c>
      <c r="S31" s="2169"/>
      <c r="T31" s="886">
        <f>S31+SUMIF('11.1.Амортиз.нови активи'!$B$11:$B$58,$B31,'11.1.Амортиз.нови активи'!T$11:T$58)+('9.Инвестиционна програма'!F$79*SUMIF('11.1.Амортиз.нови активи'!$B$11:$B$58,$B31,'11.1.Амортиз.нови активи'!AA$11:AA$58))</f>
        <v>0</v>
      </c>
      <c r="U31" s="887">
        <f>T31+SUMIF('11.1.Амортиз.нови активи'!$B$11:$B$58,$B31,'11.1.Амортиз.нови активи'!U$11:U$58)+('9.Инвестиционна програма'!G$79*SUMIF('11.1.Амортиз.нови активи'!$B$11:$B$58,$B31,'11.1.Амортиз.нови активи'!AB$11:AB$58))</f>
        <v>0</v>
      </c>
      <c r="V31" s="887">
        <f>U31+SUMIF('11.1.Амортиз.нови активи'!$B$11:$B$58,$B31,'11.1.Амортиз.нови активи'!V$11:V$58)+('9.Инвестиционна програма'!H$79*SUMIF('11.1.Амортиз.нови активи'!$B$11:$B$58,$B31,'11.1.Амортиз.нови активи'!AC$11:AC$58))</f>
        <v>0</v>
      </c>
      <c r="W31" s="887">
        <f>V31+SUMIF('11.1.Амортиз.нови активи'!$B$11:$B$58,$B31,'11.1.Амортиз.нови активи'!W$11:W$58)+('9.Инвестиционна програма'!I$79*SUMIF('11.1.Амортиз.нови активи'!$B$11:$B$58,$B31,'11.1.Амортиз.нови активи'!AD$11:AD$58))</f>
        <v>0</v>
      </c>
      <c r="X31" s="887">
        <f>W31+SUMIF('11.1.Амортиз.нови активи'!$B$11:$B$58,$B31,'11.1.Амортиз.нови активи'!X$11:X$58)+('9.Инвестиционна програма'!J$79*SUMIF('11.1.Амортиз.нови активи'!$B$11:$B$58,$B31,'11.1.Амортиз.нови активи'!AE$11:AE$58))</f>
        <v>0</v>
      </c>
      <c r="Y31" s="888">
        <f>X31+SUMIF('11.1.Амортиз.нови активи'!$B$11:$B$58,$B31,'11.1.Амортиз.нови активи'!Y$11:Y$58)+('9.Инвестиционна програма'!K$79*SUMIF('11.1.Амортиз.нови активи'!$B$11:$B$58,$B31,'11.1.Амортиз.нови активи'!AF$11:AF$58))</f>
        <v>0</v>
      </c>
      <c r="Z31" s="1592"/>
      <c r="AA31" s="1599"/>
      <c r="AB31" s="1562"/>
    </row>
    <row r="32" spans="1:28">
      <c r="A32" s="1610">
        <v>15</v>
      </c>
      <c r="B32" s="1607">
        <v>207</v>
      </c>
      <c r="C32" s="1607" t="s">
        <v>380</v>
      </c>
      <c r="D32" s="2322" t="s">
        <v>587</v>
      </c>
      <c r="E32" s="2169"/>
      <c r="F32" s="933">
        <f>E32+SUMIF('11.1.Амортиз.нови активи'!$B$11:$B$58,$B32,'11.1.Амортиз.нови активи'!F$11:F$58)+('9.Инвестиционна програма'!F$77*SUMIF('11.1.Амортиз.нови активи'!$B$11:$B$58,$B32,'11.1.Амортиз.нови активи'!AA$11:AA$58))</f>
        <v>0</v>
      </c>
      <c r="G32" s="887">
        <f>F32+SUMIF('11.1.Амортиз.нови активи'!$B$11:$B$58,$B32,'11.1.Амортиз.нови активи'!G$11:G$58)+('9.Инвестиционна програма'!G$77*SUMIF('11.1.Амортиз.нови активи'!$B$11:$B$58,$B32,'11.1.Амортиз.нови активи'!AB$11:AB$58))</f>
        <v>0</v>
      </c>
      <c r="H32" s="887">
        <f>G32+SUMIF('11.1.Амортиз.нови активи'!$B$11:$B$58,$B32,'11.1.Амортиз.нови активи'!H$11:H$58)+('9.Инвестиционна програма'!H$77*SUMIF('11.1.Амортиз.нови активи'!$B$11:$B$58,$B32,'11.1.Амортиз.нови активи'!AC$11:AC$58))</f>
        <v>0</v>
      </c>
      <c r="I32" s="887">
        <f>H32+SUMIF('11.1.Амортиз.нови активи'!$B$11:$B$58,$B32,'11.1.Амортиз.нови активи'!I$11:I$58)+('9.Инвестиционна програма'!I$77*SUMIF('11.1.Амортиз.нови активи'!$B$11:$B$58,$B32,'11.1.Амортиз.нови активи'!AD$11:AD$58))</f>
        <v>0</v>
      </c>
      <c r="J32" s="887">
        <f>I32+SUMIF('11.1.Амортиз.нови активи'!$B$11:$B$58,$B32,'11.1.Амортиз.нови активи'!J$11:J$58)+('9.Инвестиционна програма'!J$77*SUMIF('11.1.Амортиз.нови активи'!$B$11:$B$58,$B32,'11.1.Амортиз.нови активи'!AE$11:AE$58))</f>
        <v>0</v>
      </c>
      <c r="K32" s="888">
        <f>J32+SUMIF('11.1.Амортиз.нови активи'!$B$11:$B$58,$B32,'11.1.Амортиз.нови активи'!K$11:K$58)+('9.Инвестиционна програма'!K$77*SUMIF('11.1.Амортиз.нови активи'!$B$11:$B$58,$B32,'11.1.Амортиз.нови активи'!AF$11:AF$58))</f>
        <v>0</v>
      </c>
      <c r="L32" s="2169"/>
      <c r="M32" s="886">
        <f>L32+SUMIF('11.1.Амортиз.нови активи'!$B$11:$B$58,$B32,'11.1.Амортиз.нови активи'!M$11:M$58)+('9.Инвестиционна програма'!F$78*SUMIF('11.1.Амортиз.нови активи'!$B$11:$B$58,$B32,'11.1.Амортиз.нови активи'!AA$11:AA$58))</f>
        <v>0</v>
      </c>
      <c r="N32" s="887">
        <f>M32+SUMIF('11.1.Амортиз.нови активи'!$B$11:$B$58,$B32,'11.1.Амортиз.нови активи'!N$11:N$58)+('9.Инвестиционна програма'!G$78*SUMIF('11.1.Амортиз.нови активи'!$B$11:$B$58,$B32,'11.1.Амортиз.нови активи'!AB$11:AB$58))</f>
        <v>0</v>
      </c>
      <c r="O32" s="887">
        <f>N32+SUMIF('11.1.Амортиз.нови активи'!$B$11:$B$58,$B32,'11.1.Амортиз.нови активи'!O$11:O$58)+('9.Инвестиционна програма'!H$78*SUMIF('11.1.Амортиз.нови активи'!$B$11:$B$58,$B32,'11.1.Амортиз.нови активи'!AC$11:AC$58))</f>
        <v>0</v>
      </c>
      <c r="P32" s="887">
        <f>O32+SUMIF('11.1.Амортиз.нови активи'!$B$11:$B$58,$B32,'11.1.Амортиз.нови активи'!P$11:P$58)+('9.Инвестиционна програма'!I$78*SUMIF('11.1.Амортиз.нови активи'!$B$11:$B$58,$B32,'11.1.Амортиз.нови активи'!AD$11:AD$58))</f>
        <v>0</v>
      </c>
      <c r="Q32" s="887">
        <f>P32+SUMIF('11.1.Амортиз.нови активи'!$B$11:$B$58,$B32,'11.1.Амортиз.нови активи'!Q$11:Q$58)+('9.Инвестиционна програма'!J$78*SUMIF('11.1.Амортиз.нови активи'!$B$11:$B$58,$B32,'11.1.Амортиз.нови активи'!AE$11:AE$58))</f>
        <v>0</v>
      </c>
      <c r="R32" s="888">
        <f>Q32+SUMIF('11.1.Амортиз.нови активи'!$B$11:$B$58,$B32,'11.1.Амортиз.нови активи'!R$11:R$58)+('9.Инвестиционна програма'!K$78*SUMIF('11.1.Амортиз.нови активи'!$B$11:$B$58,$B32,'11.1.Амортиз.нови активи'!AF$11:AF$58))</f>
        <v>0</v>
      </c>
      <c r="S32" s="2169"/>
      <c r="T32" s="886">
        <f>S32+SUMIF('11.1.Амортиз.нови активи'!$B$11:$B$58,$B32,'11.1.Амортиз.нови активи'!T$11:T$58)+('9.Инвестиционна програма'!F$79*SUMIF('11.1.Амортиз.нови активи'!$B$11:$B$58,$B32,'11.1.Амортиз.нови активи'!AA$11:AA$58))</f>
        <v>0</v>
      </c>
      <c r="U32" s="887">
        <f>T32+SUMIF('11.1.Амортиз.нови активи'!$B$11:$B$58,$B32,'11.1.Амортиз.нови активи'!U$11:U$58)+('9.Инвестиционна програма'!G$79*SUMIF('11.1.Амортиз.нови активи'!$B$11:$B$58,$B32,'11.1.Амортиз.нови активи'!AB$11:AB$58))</f>
        <v>0</v>
      </c>
      <c r="V32" s="887">
        <f>U32+SUMIF('11.1.Амортиз.нови активи'!$B$11:$B$58,$B32,'11.1.Амортиз.нови активи'!V$11:V$58)+('9.Инвестиционна програма'!H$79*SUMIF('11.1.Амортиз.нови активи'!$B$11:$B$58,$B32,'11.1.Амортиз.нови активи'!AC$11:AC$58))</f>
        <v>0</v>
      </c>
      <c r="W32" s="887">
        <f>V32+SUMIF('11.1.Амортиз.нови активи'!$B$11:$B$58,$B32,'11.1.Амортиз.нови активи'!W$11:W$58)+('9.Инвестиционна програма'!I$79*SUMIF('11.1.Амортиз.нови активи'!$B$11:$B$58,$B32,'11.1.Амортиз.нови активи'!AD$11:AD$58))</f>
        <v>0</v>
      </c>
      <c r="X32" s="887">
        <f>W32+SUMIF('11.1.Амортиз.нови активи'!$B$11:$B$58,$B32,'11.1.Амортиз.нови активи'!X$11:X$58)+('9.Инвестиционна програма'!J$79*SUMIF('11.1.Амортиз.нови активи'!$B$11:$B$58,$B32,'11.1.Амортиз.нови активи'!AE$11:AE$58))</f>
        <v>0</v>
      </c>
      <c r="Y32" s="888">
        <f>X32+SUMIF('11.1.Амортиз.нови активи'!$B$11:$B$58,$B32,'11.1.Амортиз.нови активи'!Y$11:Y$58)+('9.Инвестиционна програма'!K$79*SUMIF('11.1.Амортиз.нови активи'!$B$11:$B$58,$B32,'11.1.Амортиз.нови активи'!AF$11:AF$58))</f>
        <v>0</v>
      </c>
      <c r="Z32" s="1592"/>
      <c r="AA32" s="1599"/>
      <c r="AB32" s="1562"/>
    </row>
    <row r="33" spans="1:28" ht="13.5" thickBot="1">
      <c r="A33" s="1610">
        <v>16</v>
      </c>
      <c r="B33" s="1613">
        <v>219</v>
      </c>
      <c r="C33" s="1614">
        <v>0.1</v>
      </c>
      <c r="D33" s="2323" t="s">
        <v>279</v>
      </c>
      <c r="E33" s="2170">
        <v>304</v>
      </c>
      <c r="F33" s="933">
        <f>E33+SUMIF('11.1.Амортиз.нови активи'!$B$11:$B$58,$B33,'11.1.Амортиз.нови активи'!F$11:F$58)+('9.Инвестиционна програма'!F$77*SUMIF('11.1.Амортиз.нови активи'!$B$11:$B$58,$B33,'11.1.Амортиз.нови активи'!AA$11:AA$58))</f>
        <v>304</v>
      </c>
      <c r="G33" s="887">
        <f>F33+SUMIF('11.1.Амортиз.нови активи'!$B$11:$B$58,$B33,'11.1.Амортиз.нови активи'!G$11:G$58)+('9.Инвестиционна програма'!G$77*SUMIF('11.1.Амортиз.нови активи'!$B$11:$B$58,$B33,'11.1.Амортиз.нови активи'!AB$11:AB$58))</f>
        <v>304</v>
      </c>
      <c r="H33" s="887">
        <f>G33+SUMIF('11.1.Амортиз.нови активи'!$B$11:$B$58,$B33,'11.1.Амортиз.нови активи'!H$11:H$58)+('9.Инвестиционна програма'!H$77*SUMIF('11.1.Амортиз.нови активи'!$B$11:$B$58,$B33,'11.1.Амортиз.нови активи'!AC$11:AC$58))</f>
        <v>304</v>
      </c>
      <c r="I33" s="887">
        <f>H33+SUMIF('11.1.Амортиз.нови активи'!$B$11:$B$58,$B33,'11.1.Амортиз.нови активи'!I$11:I$58)+('9.Инвестиционна програма'!I$77*SUMIF('11.1.Амортиз.нови активи'!$B$11:$B$58,$B33,'11.1.Амортиз.нови активи'!AD$11:AD$58))</f>
        <v>304</v>
      </c>
      <c r="J33" s="887">
        <f>I33+SUMIF('11.1.Амортиз.нови активи'!$B$11:$B$58,$B33,'11.1.Амортиз.нови активи'!J$11:J$58)+('9.Инвестиционна програма'!J$77*SUMIF('11.1.Амортиз.нови активи'!$B$11:$B$58,$B33,'11.1.Амортиз.нови активи'!AE$11:AE$58))</f>
        <v>304</v>
      </c>
      <c r="K33" s="888">
        <f>J33+SUMIF('11.1.Амортиз.нови активи'!$B$11:$B$58,$B33,'11.1.Амортиз.нови активи'!K$11:K$58)+('9.Инвестиционна програма'!K$77*SUMIF('11.1.Амортиз.нови активи'!$B$11:$B$58,$B33,'11.1.Амортиз.нови активи'!AF$11:AF$58))</f>
        <v>304</v>
      </c>
      <c r="L33" s="2170"/>
      <c r="M33" s="886">
        <f>L33+SUMIF('11.1.Амортиз.нови активи'!$B$11:$B$58,$B33,'11.1.Амортиз.нови активи'!M$11:M$58)+('9.Инвестиционна програма'!F$78*SUMIF('11.1.Амортиз.нови активи'!$B$11:$B$58,$B33,'11.1.Амортиз.нови активи'!AA$11:AA$58))</f>
        <v>0</v>
      </c>
      <c r="N33" s="887">
        <f>M33+SUMIF('11.1.Амортиз.нови активи'!$B$11:$B$58,$B33,'11.1.Амортиз.нови активи'!N$11:N$58)+('9.Инвестиционна програма'!G$78*SUMIF('11.1.Амортиз.нови активи'!$B$11:$B$58,$B33,'11.1.Амортиз.нови активи'!AB$11:AB$58))</f>
        <v>0</v>
      </c>
      <c r="O33" s="887">
        <f>N33+SUMIF('11.1.Амортиз.нови активи'!$B$11:$B$58,$B33,'11.1.Амортиз.нови активи'!O$11:O$58)+('9.Инвестиционна програма'!H$78*SUMIF('11.1.Амортиз.нови активи'!$B$11:$B$58,$B33,'11.1.Амортиз.нови активи'!AC$11:AC$58))</f>
        <v>0</v>
      </c>
      <c r="P33" s="887">
        <f>O33+SUMIF('11.1.Амортиз.нови активи'!$B$11:$B$58,$B33,'11.1.Амортиз.нови активи'!P$11:P$58)+('9.Инвестиционна програма'!I$78*SUMIF('11.1.Амортиз.нови активи'!$B$11:$B$58,$B33,'11.1.Амортиз.нови активи'!AD$11:AD$58))</f>
        <v>0</v>
      </c>
      <c r="Q33" s="887">
        <f>P33+SUMIF('11.1.Амортиз.нови активи'!$B$11:$B$58,$B33,'11.1.Амортиз.нови активи'!Q$11:Q$58)+('9.Инвестиционна програма'!J$78*SUMIF('11.1.Амортиз.нови активи'!$B$11:$B$58,$B33,'11.1.Амортиз.нови активи'!AE$11:AE$58))</f>
        <v>0</v>
      </c>
      <c r="R33" s="888">
        <f>Q33+SUMIF('11.1.Амортиз.нови активи'!$B$11:$B$58,$B33,'11.1.Амортиз.нови активи'!R$11:R$58)+('9.Инвестиционна програма'!K$78*SUMIF('11.1.Амортиз.нови активи'!$B$11:$B$58,$B33,'11.1.Амортиз.нови активи'!AF$11:AF$58))</f>
        <v>0</v>
      </c>
      <c r="S33" s="2170"/>
      <c r="T33" s="886">
        <f>S33+SUMIF('11.1.Амортиз.нови активи'!$B$11:$B$58,$B33,'11.1.Амортиз.нови активи'!T$11:T$58)+('9.Инвестиционна програма'!F$79*SUMIF('11.1.Амортиз.нови активи'!$B$11:$B$58,$B33,'11.1.Амортиз.нови активи'!AA$11:AA$58))</f>
        <v>0</v>
      </c>
      <c r="U33" s="887">
        <f>T33+SUMIF('11.1.Амортиз.нови активи'!$B$11:$B$58,$B33,'11.1.Амортиз.нови активи'!U$11:U$58)+('9.Инвестиционна програма'!G$79*SUMIF('11.1.Амортиз.нови активи'!$B$11:$B$58,$B33,'11.1.Амортиз.нови активи'!AB$11:AB$58))</f>
        <v>0</v>
      </c>
      <c r="V33" s="887">
        <f>U33+SUMIF('11.1.Амортиз.нови активи'!$B$11:$B$58,$B33,'11.1.Амортиз.нови активи'!V$11:V$58)+('9.Инвестиционна програма'!H$79*SUMIF('11.1.Амортиз.нови активи'!$B$11:$B$58,$B33,'11.1.Амортиз.нови активи'!AC$11:AC$58))</f>
        <v>0</v>
      </c>
      <c r="W33" s="887">
        <f>V33+SUMIF('11.1.Амортиз.нови активи'!$B$11:$B$58,$B33,'11.1.Амортиз.нови активи'!W$11:W$58)+('9.Инвестиционна програма'!I$79*SUMIF('11.1.Амортиз.нови активи'!$B$11:$B$58,$B33,'11.1.Амортиз.нови активи'!AD$11:AD$58))</f>
        <v>0</v>
      </c>
      <c r="X33" s="887">
        <f>W33+SUMIF('11.1.Амортиз.нови активи'!$B$11:$B$58,$B33,'11.1.Амортиз.нови активи'!X$11:X$58)+('9.Инвестиционна програма'!J$79*SUMIF('11.1.Амортиз.нови активи'!$B$11:$B$58,$B33,'11.1.Амортиз.нови активи'!AE$11:AE$58))</f>
        <v>0</v>
      </c>
      <c r="Y33" s="888">
        <f>X33+SUMIF('11.1.Амортиз.нови активи'!$B$11:$B$58,$B33,'11.1.Амортиз.нови активи'!Y$11:Y$58)+('9.Инвестиционна програма'!K$79*SUMIF('11.1.Амортиз.нови активи'!$B$11:$B$58,$B33,'11.1.Амортиз.нови активи'!AF$11:AF$58))</f>
        <v>0</v>
      </c>
      <c r="Z33" s="1592"/>
      <c r="AA33" s="1599"/>
      <c r="AB33" s="1562"/>
    </row>
    <row r="34" spans="1:28" ht="13.5" thickBot="1">
      <c r="A34" s="1615" t="s">
        <v>269</v>
      </c>
      <c r="B34" s="1616"/>
      <c r="C34" s="1616"/>
      <c r="D34" s="1586" t="s">
        <v>281</v>
      </c>
      <c r="E34" s="648">
        <f t="shared" ref="E34:Y34" si="4">SUM(E35:E58)-E37-E43</f>
        <v>222</v>
      </c>
      <c r="F34" s="241">
        <f t="shared" si="4"/>
        <v>286.09000000000003</v>
      </c>
      <c r="G34" s="242">
        <f t="shared" si="4"/>
        <v>294.22913227080784</v>
      </c>
      <c r="H34" s="242">
        <f t="shared" si="4"/>
        <v>306.12444259220666</v>
      </c>
      <c r="I34" s="242">
        <f t="shared" si="4"/>
        <v>297.39518484612688</v>
      </c>
      <c r="J34" s="242">
        <f t="shared" si="4"/>
        <v>311.85601976276178</v>
      </c>
      <c r="K34" s="243">
        <f t="shared" si="4"/>
        <v>341.44410503924053</v>
      </c>
      <c r="L34" s="648">
        <f t="shared" si="4"/>
        <v>64</v>
      </c>
      <c r="M34" s="241">
        <f t="shared" si="4"/>
        <v>69.05</v>
      </c>
      <c r="N34" s="242">
        <f t="shared" si="4"/>
        <v>109.3970181174227</v>
      </c>
      <c r="O34" s="242">
        <f t="shared" si="4"/>
        <v>149.11041008543444</v>
      </c>
      <c r="P34" s="242">
        <f t="shared" si="4"/>
        <v>150.14196960681102</v>
      </c>
      <c r="Q34" s="242">
        <f t="shared" si="4"/>
        <v>157.89243329003139</v>
      </c>
      <c r="R34" s="243">
        <f t="shared" si="4"/>
        <v>162.35932025848865</v>
      </c>
      <c r="S34" s="648">
        <f t="shared" si="4"/>
        <v>3.419999999999999</v>
      </c>
      <c r="T34" s="241">
        <f t="shared" si="4"/>
        <v>4.6199999999999992</v>
      </c>
      <c r="U34" s="242">
        <f t="shared" si="4"/>
        <v>7.1738496117695165</v>
      </c>
      <c r="V34" s="242">
        <f t="shared" si="4"/>
        <v>15.755147322358829</v>
      </c>
      <c r="W34" s="242">
        <f t="shared" si="4"/>
        <v>26.352845547062138</v>
      </c>
      <c r="X34" s="242">
        <f t="shared" si="4"/>
        <v>30.021546947207007</v>
      </c>
      <c r="Y34" s="243">
        <f t="shared" si="4"/>
        <v>33.596574702270637</v>
      </c>
      <c r="Z34" s="1587"/>
      <c r="AA34" s="1588">
        <f>(SUM(F$34:Y$34)-L$34-S$34)+(SUM(F$130:Y$130)-L$130-S$130)+(SUM(F$213:Y$213)-L$213-S$213)-((K$59-E$59)+(R$59-L$59)+(Y$59-S$59)+(K$150-E$150)+(R$150-L$150)+(Y$150-S$150)+(K$235-E$235)+(R$235-L$235)+(Y$235-S$235))</f>
        <v>0</v>
      </c>
      <c r="AB34" s="1562"/>
    </row>
    <row r="35" spans="1:28">
      <c r="A35" s="1589">
        <v>1</v>
      </c>
      <c r="B35" s="1617">
        <v>20101</v>
      </c>
      <c r="C35" s="1591">
        <v>0</v>
      </c>
      <c r="D35" s="1542" t="s">
        <v>758</v>
      </c>
      <c r="E35" s="2169"/>
      <c r="F35" s="901">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902">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902">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902">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902">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903">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2169"/>
      <c r="M35" s="901">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902">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902">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902">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902">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903">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2169"/>
      <c r="T35" s="901">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902">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902">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902">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902">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903">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618"/>
      <c r="AA35" s="1619"/>
      <c r="AB35" s="1562"/>
    </row>
    <row r="36" spans="1:28">
      <c r="A36" s="1594">
        <v>2</v>
      </c>
      <c r="B36" s="1620">
        <v>20201</v>
      </c>
      <c r="C36" s="1596">
        <v>0.03</v>
      </c>
      <c r="D36" s="1543" t="s">
        <v>597</v>
      </c>
      <c r="E36" s="2627">
        <v>25</v>
      </c>
      <c r="F36" s="898">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25.84</v>
      </c>
      <c r="G36" s="899">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26.977449938700449</v>
      </c>
      <c r="H36" s="899">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30.632048343404875</v>
      </c>
      <c r="I36" s="899">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34.271866617842264</v>
      </c>
      <c r="J36" s="899">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35.730201460911047</v>
      </c>
      <c r="K36" s="900">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37.535869337501815</v>
      </c>
      <c r="L36" s="2627">
        <v>5</v>
      </c>
      <c r="M36" s="898">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5.03</v>
      </c>
      <c r="N36" s="899">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5.6334818144666947</v>
      </c>
      <c r="O36" s="899">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7.9364967701604501</v>
      </c>
      <c r="P36" s="899">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9.0637236233807847</v>
      </c>
      <c r="Q36" s="899">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9.4823048746725718</v>
      </c>
      <c r="R36" s="900">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10.212441139026318</v>
      </c>
      <c r="S36" s="2627">
        <v>0.22</v>
      </c>
      <c r="T36" s="898">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0.22</v>
      </c>
      <c r="U36" s="899">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0.36906824683285655</v>
      </c>
      <c r="V36" s="899">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0.9514548864346738</v>
      </c>
      <c r="W36" s="899">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1.5844097587769486</v>
      </c>
      <c r="X36" s="899">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1.5074936644163808</v>
      </c>
      <c r="Y36" s="900">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1.521689523471871</v>
      </c>
      <c r="Z36" s="1618"/>
      <c r="AA36" s="1597"/>
      <c r="AB36" s="1562"/>
    </row>
    <row r="37" spans="1:28" ht="26.25" customHeight="1">
      <c r="A37" s="1594">
        <v>3</v>
      </c>
      <c r="B37" s="1620">
        <v>203</v>
      </c>
      <c r="C37" s="1591"/>
      <c r="D37" s="1544" t="s">
        <v>577</v>
      </c>
      <c r="E37" s="1598">
        <f>SUM(E38:E41)</f>
        <v>46</v>
      </c>
      <c r="F37" s="963">
        <f t="shared" ref="F37:Y37" si="5">SUM(F38:F41)</f>
        <v>75.55</v>
      </c>
      <c r="G37" s="959">
        <f t="shared" si="5"/>
        <v>78.7</v>
      </c>
      <c r="H37" s="959">
        <f t="shared" si="5"/>
        <v>79.7</v>
      </c>
      <c r="I37" s="959">
        <f t="shared" si="5"/>
        <v>85.500000000000014</v>
      </c>
      <c r="J37" s="959">
        <f t="shared" si="5"/>
        <v>106.25000000000001</v>
      </c>
      <c r="K37" s="959">
        <f t="shared" si="5"/>
        <v>126.95</v>
      </c>
      <c r="L37" s="1598">
        <f>SUM(L38:L41)</f>
        <v>12</v>
      </c>
      <c r="M37" s="963">
        <f t="shared" si="5"/>
        <v>15.499999999999998</v>
      </c>
      <c r="N37" s="959">
        <f t="shared" si="5"/>
        <v>53.2</v>
      </c>
      <c r="O37" s="959">
        <f t="shared" si="5"/>
        <v>83.5</v>
      </c>
      <c r="P37" s="959">
        <f t="shared" si="5"/>
        <v>82.7</v>
      </c>
      <c r="Q37" s="959">
        <f t="shared" si="5"/>
        <v>94.2</v>
      </c>
      <c r="R37" s="959">
        <f t="shared" si="5"/>
        <v>111.25</v>
      </c>
      <c r="S37" s="1598">
        <f>SUM(S38:S41)</f>
        <v>2.2000000000000002</v>
      </c>
      <c r="T37" s="958">
        <f t="shared" si="5"/>
        <v>3.4</v>
      </c>
      <c r="U37" s="959">
        <f t="shared" si="5"/>
        <v>5.3000000000000007</v>
      </c>
      <c r="V37" s="959">
        <f t="shared" si="5"/>
        <v>8</v>
      </c>
      <c r="W37" s="959">
        <f t="shared" si="5"/>
        <v>12.25</v>
      </c>
      <c r="X37" s="959">
        <f t="shared" si="5"/>
        <v>16</v>
      </c>
      <c r="Y37" s="962">
        <f t="shared" si="5"/>
        <v>19.649999999999999</v>
      </c>
      <c r="Z37" s="1621"/>
      <c r="AA37" s="1622"/>
      <c r="AB37" s="1562"/>
    </row>
    <row r="38" spans="1:28">
      <c r="A38" s="1594"/>
      <c r="B38" s="1595">
        <v>20301</v>
      </c>
      <c r="C38" s="1600">
        <v>0.1</v>
      </c>
      <c r="D38" s="1545" t="s">
        <v>599</v>
      </c>
      <c r="E38" s="2169">
        <v>5</v>
      </c>
      <c r="F38" s="898">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6.2</v>
      </c>
      <c r="G38" s="899">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6.2</v>
      </c>
      <c r="H38" s="899">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6.2</v>
      </c>
      <c r="I38" s="899">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6.2</v>
      </c>
      <c r="J38" s="899">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6.2</v>
      </c>
      <c r="K38" s="900">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5.2</v>
      </c>
      <c r="L38" s="2169">
        <v>1</v>
      </c>
      <c r="M38" s="898">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1.1000000000000001</v>
      </c>
      <c r="N38" s="899">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1.1000000000000001</v>
      </c>
      <c r="O38" s="899">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1.1000000000000001</v>
      </c>
      <c r="P38" s="899">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1.1000000000000001</v>
      </c>
      <c r="Q38" s="899">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1.1000000000000001</v>
      </c>
      <c r="R38" s="900">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1.1000000000000001</v>
      </c>
      <c r="S38" s="2169">
        <v>1</v>
      </c>
      <c r="T38" s="898">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1</v>
      </c>
      <c r="U38" s="899">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1</v>
      </c>
      <c r="V38" s="899">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1</v>
      </c>
      <c r="W38" s="899">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1</v>
      </c>
      <c r="X38" s="899">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1</v>
      </c>
      <c r="Y38" s="900">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592"/>
      <c r="AA38" s="1622"/>
      <c r="AB38" s="1562"/>
    </row>
    <row r="39" spans="1:28">
      <c r="A39" s="1594"/>
      <c r="B39" s="1595">
        <v>20302</v>
      </c>
      <c r="C39" s="1600">
        <v>0.1</v>
      </c>
      <c r="D39" s="1545" t="s">
        <v>600</v>
      </c>
      <c r="E39" s="2169">
        <v>12</v>
      </c>
      <c r="F39" s="898">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12</v>
      </c>
      <c r="G39" s="899">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12</v>
      </c>
      <c r="H39" s="899">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13</v>
      </c>
      <c r="I39" s="899">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14.55</v>
      </c>
      <c r="J39" s="899">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15.95</v>
      </c>
      <c r="K39" s="900">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18.55</v>
      </c>
      <c r="L39" s="2169">
        <v>5</v>
      </c>
      <c r="M39" s="898">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5</v>
      </c>
      <c r="N39" s="899">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5</v>
      </c>
      <c r="O39" s="899">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1</v>
      </c>
      <c r="P39" s="899">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899">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900">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2169">
        <v>1</v>
      </c>
      <c r="T39" s="898">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1</v>
      </c>
      <c r="U39" s="899">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1</v>
      </c>
      <c r="V39" s="899">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1</v>
      </c>
      <c r="W39" s="899">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1.5</v>
      </c>
      <c r="X39" s="899">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2.25</v>
      </c>
      <c r="Y39" s="900">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3.4</v>
      </c>
      <c r="Z39" s="1592"/>
      <c r="AA39" s="1622"/>
      <c r="AB39" s="1562"/>
    </row>
    <row r="40" spans="1:28">
      <c r="A40" s="1594"/>
      <c r="B40" s="1620">
        <v>20303</v>
      </c>
      <c r="C40" s="1591">
        <v>0.1</v>
      </c>
      <c r="D40" s="1545" t="s">
        <v>578</v>
      </c>
      <c r="E40" s="2169">
        <v>18</v>
      </c>
      <c r="F40" s="898">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42.800000000000004</v>
      </c>
      <c r="G40" s="899">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42.800000000000004</v>
      </c>
      <c r="H40" s="899">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42.800000000000004</v>
      </c>
      <c r="I40" s="899">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45.050000000000004</v>
      </c>
      <c r="J40" s="899">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60.650000000000006</v>
      </c>
      <c r="K40" s="900">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76.25</v>
      </c>
      <c r="L40" s="2169">
        <v>2</v>
      </c>
      <c r="M40" s="898">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2.5499999999999998</v>
      </c>
      <c r="N40" s="899">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37.400000000000006</v>
      </c>
      <c r="O40" s="899">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71.7</v>
      </c>
      <c r="P40" s="899">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71.7</v>
      </c>
      <c r="Q40" s="899">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82.800000000000011</v>
      </c>
      <c r="R40" s="900">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99.45</v>
      </c>
      <c r="S40" s="2169">
        <v>0.1</v>
      </c>
      <c r="T40" s="898">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0.5</v>
      </c>
      <c r="U40" s="899">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0.9</v>
      </c>
      <c r="V40" s="899">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0.9</v>
      </c>
      <c r="W40" s="899">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0.9</v>
      </c>
      <c r="X40" s="899">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0.4</v>
      </c>
      <c r="Y40" s="900">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0.4</v>
      </c>
      <c r="Z40" s="1592"/>
      <c r="AA40" s="1622"/>
      <c r="AB40" s="1562"/>
    </row>
    <row r="41" spans="1:28">
      <c r="A41" s="1594"/>
      <c r="B41" s="1620">
        <v>20306</v>
      </c>
      <c r="C41" s="1591">
        <v>0.1</v>
      </c>
      <c r="D41" s="1545" t="s">
        <v>581</v>
      </c>
      <c r="E41" s="2169">
        <v>11</v>
      </c>
      <c r="F41" s="898">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14.55</v>
      </c>
      <c r="G41" s="899">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17.700000000000003</v>
      </c>
      <c r="H41" s="899">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17.700000000000003</v>
      </c>
      <c r="I41" s="899">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19.700000000000003</v>
      </c>
      <c r="J41" s="899">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23.450000000000003</v>
      </c>
      <c r="K41" s="900">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26.950000000000003</v>
      </c>
      <c r="L41" s="2169">
        <v>4</v>
      </c>
      <c r="M41" s="898">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6.85</v>
      </c>
      <c r="N41" s="899">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9.6999999999999993</v>
      </c>
      <c r="O41" s="899">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9.6999999999999993</v>
      </c>
      <c r="P41" s="899">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9.9</v>
      </c>
      <c r="Q41" s="899">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10.3</v>
      </c>
      <c r="R41" s="900">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10.700000000000001</v>
      </c>
      <c r="S41" s="2169">
        <v>0.1</v>
      </c>
      <c r="T41" s="898">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0.9</v>
      </c>
      <c r="U41" s="899">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2.4000000000000004</v>
      </c>
      <c r="V41" s="899">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5.0999999999999996</v>
      </c>
      <c r="W41" s="899">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8.85</v>
      </c>
      <c r="X41" s="899">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12.35</v>
      </c>
      <c r="Y41" s="900">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15.85</v>
      </c>
      <c r="Z41" s="1592"/>
      <c r="AA41" s="1623"/>
    </row>
    <row r="42" spans="1:28">
      <c r="A42" s="1594">
        <v>4</v>
      </c>
      <c r="B42" s="1595">
        <v>20403</v>
      </c>
      <c r="C42" s="1600">
        <v>0.04</v>
      </c>
      <c r="D42" s="1546" t="s">
        <v>606</v>
      </c>
      <c r="E42" s="2169"/>
      <c r="F42" s="898">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0</v>
      </c>
      <c r="G42" s="899">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0</v>
      </c>
      <c r="H42" s="899">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0</v>
      </c>
      <c r="I42" s="899">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0</v>
      </c>
      <c r="J42" s="899">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0</v>
      </c>
      <c r="K42" s="900">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0</v>
      </c>
      <c r="L42" s="2169"/>
      <c r="M42" s="898">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899">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899">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899">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899">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900">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2169"/>
      <c r="T42" s="898">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899">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899">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899">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899">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900">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592"/>
      <c r="AA42" s="1623"/>
    </row>
    <row r="43" spans="1:28">
      <c r="A43" s="1594">
        <v>5</v>
      </c>
      <c r="B43" s="1620">
        <v>205</v>
      </c>
      <c r="C43" s="1591"/>
      <c r="D43" s="1544" t="s">
        <v>275</v>
      </c>
      <c r="E43" s="1603">
        <f t="shared" ref="E43:Y43" si="6">SUM(E44:E47)</f>
        <v>86</v>
      </c>
      <c r="F43" s="1604">
        <f t="shared" si="6"/>
        <v>119.4</v>
      </c>
      <c r="G43" s="1605">
        <f t="shared" si="6"/>
        <v>121.35593243427327</v>
      </c>
      <c r="H43" s="1605">
        <f t="shared" si="6"/>
        <v>124.37395290685559</v>
      </c>
      <c r="I43" s="1605">
        <f t="shared" si="6"/>
        <v>129.1064738102867</v>
      </c>
      <c r="J43" s="1605">
        <f t="shared" si="6"/>
        <v>133.86047447664885</v>
      </c>
      <c r="K43" s="1605">
        <f t="shared" si="6"/>
        <v>136.9767086200506</v>
      </c>
      <c r="L43" s="1603">
        <f t="shared" si="6"/>
        <v>41</v>
      </c>
      <c r="M43" s="1604">
        <f t="shared" si="6"/>
        <v>42.22</v>
      </c>
      <c r="N43" s="1605">
        <f t="shared" si="6"/>
        <v>43.257733278844846</v>
      </c>
      <c r="O43" s="1605">
        <f t="shared" si="6"/>
        <v>45.236826422171283</v>
      </c>
      <c r="P43" s="1605">
        <f t="shared" si="6"/>
        <v>46.928312354098964</v>
      </c>
      <c r="Q43" s="1605">
        <f t="shared" si="6"/>
        <v>53.433419937389523</v>
      </c>
      <c r="R43" s="1605">
        <f t="shared" si="6"/>
        <v>40.115690458156735</v>
      </c>
      <c r="S43" s="1603">
        <f t="shared" si="6"/>
        <v>0</v>
      </c>
      <c r="T43" s="1604">
        <f t="shared" si="6"/>
        <v>0</v>
      </c>
      <c r="U43" s="1605">
        <f t="shared" si="6"/>
        <v>0.25633428688189619</v>
      </c>
      <c r="V43" s="1605">
        <f t="shared" si="6"/>
        <v>4.2592206709731197</v>
      </c>
      <c r="W43" s="1605">
        <f t="shared" si="6"/>
        <v>8.0852138356143488</v>
      </c>
      <c r="X43" s="1605">
        <f t="shared" si="6"/>
        <v>7.9061055859616243</v>
      </c>
      <c r="Y43" s="1606">
        <f t="shared" si="6"/>
        <v>7.7876009217926612</v>
      </c>
      <c r="Z43" s="1592"/>
      <c r="AA43" s="1623"/>
    </row>
    <row r="44" spans="1:28">
      <c r="A44" s="1607"/>
      <c r="B44" s="1609">
        <v>20501</v>
      </c>
      <c r="C44" s="1591">
        <v>0.08</v>
      </c>
      <c r="D44" s="1547" t="s">
        <v>582</v>
      </c>
      <c r="E44" s="2169">
        <v>39</v>
      </c>
      <c r="F44" s="898">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56.2</v>
      </c>
      <c r="G44" s="899">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56.2</v>
      </c>
      <c r="H44" s="899">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56.2</v>
      </c>
      <c r="I44" s="899">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56.2</v>
      </c>
      <c r="J44" s="899">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56.2</v>
      </c>
      <c r="K44" s="900">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56.2</v>
      </c>
      <c r="L44" s="2169">
        <v>29</v>
      </c>
      <c r="M44" s="898">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29.52</v>
      </c>
      <c r="N44" s="899">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29.52</v>
      </c>
      <c r="O44" s="899">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29.52</v>
      </c>
      <c r="P44" s="899">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29.52</v>
      </c>
      <c r="Q44" s="899">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34.6</v>
      </c>
      <c r="R44" s="900">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21.279999999999998</v>
      </c>
      <c r="S44" s="2169"/>
      <c r="T44" s="898">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0</v>
      </c>
      <c r="U44" s="899">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0</v>
      </c>
      <c r="V44" s="899">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0</v>
      </c>
      <c r="W44" s="899">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0</v>
      </c>
      <c r="X44" s="899">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0</v>
      </c>
      <c r="Y44" s="900">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0</v>
      </c>
      <c r="Z44" s="1592"/>
      <c r="AA44" s="1623"/>
    </row>
    <row r="45" spans="1:28">
      <c r="A45" s="1607"/>
      <c r="B45" s="1609">
        <v>20502</v>
      </c>
      <c r="C45" s="1591">
        <v>0.1</v>
      </c>
      <c r="D45" s="1547" t="s">
        <v>583</v>
      </c>
      <c r="E45" s="2169">
        <v>32</v>
      </c>
      <c r="F45" s="898">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63.2</v>
      </c>
      <c r="G45" s="899">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63.2</v>
      </c>
      <c r="H45" s="899">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64.479016461762868</v>
      </c>
      <c r="I45" s="899">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68.943557467844556</v>
      </c>
      <c r="J45" s="899">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73.547466831356346</v>
      </c>
      <c r="K45" s="900">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76.595017162747979</v>
      </c>
      <c r="L45" s="2169">
        <v>11</v>
      </c>
      <c r="M45" s="898">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11.7</v>
      </c>
      <c r="N45" s="899">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11.7</v>
      </c>
      <c r="O45" s="899">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12.475755365701186</v>
      </c>
      <c r="P45" s="899">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14.512491417585938</v>
      </c>
      <c r="Q45" s="899">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15.98185361075026</v>
      </c>
      <c r="R45" s="900">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15.982782460155029</v>
      </c>
      <c r="S45" s="2169"/>
      <c r="T45" s="898">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0</v>
      </c>
      <c r="U45" s="899">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v>
      </c>
      <c r="V45" s="899">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3.1952281725359448</v>
      </c>
      <c r="W45" s="899">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6.4439511145695061</v>
      </c>
      <c r="X45" s="899">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6.3706795578933919</v>
      </c>
      <c r="Y45" s="900">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6.3222003770969977</v>
      </c>
      <c r="Z45" s="1592"/>
      <c r="AA45" s="1623"/>
    </row>
    <row r="46" spans="1:28">
      <c r="A46" s="1607"/>
      <c r="B46" s="1609">
        <v>20503</v>
      </c>
      <c r="C46" s="1591">
        <v>0.1</v>
      </c>
      <c r="D46" s="1545" t="s">
        <v>584</v>
      </c>
      <c r="E46" s="2169">
        <v>15</v>
      </c>
      <c r="F46" s="898">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0</v>
      </c>
      <c r="G46" s="899">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1.9559324342732594</v>
      </c>
      <c r="H46" s="899">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3.6949364450927278</v>
      </c>
      <c r="I46" s="899">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3.9629163424421354</v>
      </c>
      <c r="J46" s="899">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4.1130076452925017</v>
      </c>
      <c r="K46" s="900">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4.1816914573026285</v>
      </c>
      <c r="L46" s="2169">
        <v>1</v>
      </c>
      <c r="M46" s="898">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1</v>
      </c>
      <c r="N46" s="899">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2.0377332788448443</v>
      </c>
      <c r="O46" s="899">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3.2410710564700977</v>
      </c>
      <c r="P46" s="899">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2.8958209365130223</v>
      </c>
      <c r="Q46" s="899">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2.8515663266392659</v>
      </c>
      <c r="R46" s="900">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2.8529079980017089</v>
      </c>
      <c r="S46" s="2169"/>
      <c r="T46" s="898">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0</v>
      </c>
      <c r="U46" s="899">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0.25633428688189619</v>
      </c>
      <c r="V46" s="899">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1.0639924984371745</v>
      </c>
      <c r="W46" s="899">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1.6412627210448423</v>
      </c>
      <c r="X46" s="899">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1.5354260280682328</v>
      </c>
      <c r="Y46" s="900">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1.4654005446956635</v>
      </c>
      <c r="Z46" s="1592"/>
      <c r="AA46" s="1623"/>
    </row>
    <row r="47" spans="1:28">
      <c r="A47" s="1607"/>
      <c r="B47" s="1609">
        <v>20504</v>
      </c>
      <c r="C47" s="1591">
        <v>0.1</v>
      </c>
      <c r="D47" s="1545" t="s">
        <v>759</v>
      </c>
      <c r="E47" s="2169"/>
      <c r="F47" s="898">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899">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899">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899">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899">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900">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2169"/>
      <c r="M47" s="898">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899">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899">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899">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899">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900">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2169"/>
      <c r="T47" s="898">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899">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899">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899">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899">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900">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592"/>
      <c r="AA47" s="1623"/>
    </row>
    <row r="48" spans="1:28">
      <c r="A48" s="1607">
        <v>6</v>
      </c>
      <c r="B48" s="1609">
        <v>208</v>
      </c>
      <c r="C48" s="1591">
        <v>0.2</v>
      </c>
      <c r="D48" s="1546" t="s">
        <v>585</v>
      </c>
      <c r="E48" s="2169">
        <v>7</v>
      </c>
      <c r="F48" s="898">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7.8000000000000007</v>
      </c>
      <c r="G48" s="899">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7.8000000000000007</v>
      </c>
      <c r="H48" s="899">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11.21071056470098</v>
      </c>
      <c r="I48" s="899">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18.16455043407943</v>
      </c>
      <c r="J48" s="899">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23.61926017420193</v>
      </c>
      <c r="K48" s="900">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27.743451565597152</v>
      </c>
      <c r="L48" s="2169">
        <v>1</v>
      </c>
      <c r="M48" s="898">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1</v>
      </c>
      <c r="N48" s="899">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1</v>
      </c>
      <c r="O48" s="899">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3.0686809752031672</v>
      </c>
      <c r="P48" s="899">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0.95830091088021252</v>
      </c>
      <c r="Q48" s="899">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-6.8785910513874393</v>
      </c>
      <c r="R48" s="900">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-5.1630541633764651</v>
      </c>
      <c r="S48" s="2169"/>
      <c r="T48" s="898">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0</v>
      </c>
      <c r="U48" s="899">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0</v>
      </c>
      <c r="V48" s="899">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0.52060846009585326</v>
      </c>
      <c r="W48" s="899">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1.6771486550403565</v>
      </c>
      <c r="X48" s="899">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2.0593308771855101</v>
      </c>
      <c r="Y48" s="900">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2.2196025977793181</v>
      </c>
      <c r="Z48" s="1592"/>
      <c r="AA48" s="1623"/>
    </row>
    <row r="49" spans="1:28">
      <c r="A49" s="1607">
        <v>7</v>
      </c>
      <c r="B49" s="1609">
        <v>20601</v>
      </c>
      <c r="C49" s="1600">
        <v>0.1</v>
      </c>
      <c r="D49" s="1546" t="s">
        <v>766</v>
      </c>
      <c r="E49" s="2169">
        <v>1</v>
      </c>
      <c r="F49" s="898">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0.70000000000000007</v>
      </c>
      <c r="G49" s="899">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2.5957498978340827</v>
      </c>
      <c r="H49" s="899">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4.5654719733277771</v>
      </c>
      <c r="I49" s="899">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5.4554996109305627</v>
      </c>
      <c r="J49" s="899">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6.2683795813190795</v>
      </c>
      <c r="K49" s="900">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7.00470404331781</v>
      </c>
      <c r="L49" s="2169"/>
      <c r="M49" s="898">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0.1</v>
      </c>
      <c r="N49" s="899">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1.1058030241111569</v>
      </c>
      <c r="O49" s="899">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2.4445051052302564</v>
      </c>
      <c r="P49" s="899">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2.3749851238156272</v>
      </c>
      <c r="Q49" s="899">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2.6067359499116218</v>
      </c>
      <c r="R49" s="900">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2.8936151354487305</v>
      </c>
      <c r="S49" s="2169">
        <v>1</v>
      </c>
      <c r="T49" s="898">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1</v>
      </c>
      <c r="U49" s="899">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1.248447078054761</v>
      </c>
      <c r="V49" s="899">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1.590022921441967</v>
      </c>
      <c r="W49" s="899">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1.7695152652538106</v>
      </c>
      <c r="X49" s="899">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1.7248844687692997</v>
      </c>
      <c r="Y49" s="900">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1.701680821233462</v>
      </c>
      <c r="Z49" s="1592"/>
      <c r="AA49" s="1623"/>
    </row>
    <row r="50" spans="1:28">
      <c r="A50" s="1610">
        <v>8</v>
      </c>
      <c r="B50" s="1609">
        <v>20602</v>
      </c>
      <c r="C50" s="1600">
        <v>0.1</v>
      </c>
      <c r="D50" s="1546" t="s">
        <v>607</v>
      </c>
      <c r="E50" s="2169">
        <v>4</v>
      </c>
      <c r="F50" s="898">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4</v>
      </c>
      <c r="G50" s="899">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4</v>
      </c>
      <c r="H50" s="899">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0</v>
      </c>
      <c r="I50" s="899">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0</v>
      </c>
      <c r="J50" s="899">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v>
      </c>
      <c r="K50" s="900">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0</v>
      </c>
      <c r="L50" s="2169">
        <v>1</v>
      </c>
      <c r="M50" s="898">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1</v>
      </c>
      <c r="N50" s="899">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1</v>
      </c>
      <c r="O50" s="899">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1</v>
      </c>
      <c r="P50" s="899">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1</v>
      </c>
      <c r="Q50" s="899">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1</v>
      </c>
      <c r="R50" s="900">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2169"/>
      <c r="T50" s="898">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899">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899">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899">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899">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900">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592"/>
      <c r="AA50" s="1623"/>
    </row>
    <row r="51" spans="1:28">
      <c r="A51" s="1610">
        <v>9</v>
      </c>
      <c r="B51" s="1608">
        <v>20603</v>
      </c>
      <c r="C51" s="1600">
        <v>0.5</v>
      </c>
      <c r="D51" s="1546" t="s">
        <v>1441</v>
      </c>
      <c r="E51" s="2169"/>
      <c r="F51" s="898">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899">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899">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899">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899">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900">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2169"/>
      <c r="M51" s="898">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899">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899">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899">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899">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900">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2169"/>
      <c r="T51" s="898">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899">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899">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899">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899">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900">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592"/>
      <c r="AA51" s="1623"/>
    </row>
    <row r="52" spans="1:28">
      <c r="A52" s="1610">
        <v>10</v>
      </c>
      <c r="B52" s="1609">
        <v>209</v>
      </c>
      <c r="C52" s="1591">
        <v>0.1</v>
      </c>
      <c r="D52" s="1546" t="s">
        <v>276</v>
      </c>
      <c r="E52" s="2169"/>
      <c r="F52" s="898">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899">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899">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899">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899">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900">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2169"/>
      <c r="M52" s="898">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899">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899">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899">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899">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900">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2169"/>
      <c r="T52" s="898">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899">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899">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899">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899">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900">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592"/>
      <c r="AA52" s="1623"/>
    </row>
    <row r="53" spans="1:28" ht="24">
      <c r="A53" s="1610">
        <v>11</v>
      </c>
      <c r="B53" s="1609">
        <v>207</v>
      </c>
      <c r="C53" s="1591" t="s">
        <v>380</v>
      </c>
      <c r="D53" s="1548" t="s">
        <v>586</v>
      </c>
      <c r="E53" s="2169"/>
      <c r="F53" s="898">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899">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899">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899">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899">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900">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2169"/>
      <c r="M53" s="898">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899">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899">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899">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899">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900">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2169"/>
      <c r="T53" s="898">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899">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899">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899">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899">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900">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592"/>
      <c r="AA53" s="1623"/>
    </row>
    <row r="54" spans="1:28">
      <c r="A54" s="1610">
        <v>12</v>
      </c>
      <c r="B54" s="1608">
        <v>212</v>
      </c>
      <c r="C54" s="1600">
        <v>0.2</v>
      </c>
      <c r="D54" s="1549" t="s">
        <v>277</v>
      </c>
      <c r="E54" s="2169">
        <v>23</v>
      </c>
      <c r="F54" s="898">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22.8</v>
      </c>
      <c r="G54" s="899">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22.8</v>
      </c>
      <c r="H54" s="899">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25.642258803917485</v>
      </c>
      <c r="I54" s="899">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13.896794372987902</v>
      </c>
      <c r="J54" s="899">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6.1277040696807727</v>
      </c>
      <c r="K54" s="900">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5.2333714727732756</v>
      </c>
      <c r="L54" s="2169">
        <v>4</v>
      </c>
      <c r="M54" s="898">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4.2</v>
      </c>
      <c r="N54" s="899">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4.2</v>
      </c>
      <c r="O54" s="899">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5.9239008126693058</v>
      </c>
      <c r="P54" s="899">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7.1166475946354195</v>
      </c>
      <c r="Q54" s="899">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4.048563579445025</v>
      </c>
      <c r="R54" s="900">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3.0506276892333983</v>
      </c>
      <c r="S54" s="2169"/>
      <c r="T54" s="898">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0</v>
      </c>
      <c r="U54" s="899">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v>
      </c>
      <c r="V54" s="899">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0.43384038341321102</v>
      </c>
      <c r="W54" s="899">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0.98655803237668027</v>
      </c>
      <c r="X54" s="899">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0.82373235087420404</v>
      </c>
      <c r="Y54" s="900">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0.71600083799332848</v>
      </c>
      <c r="Z54" s="1592"/>
      <c r="AA54" s="1623"/>
    </row>
    <row r="55" spans="1:28">
      <c r="A55" s="1610">
        <v>13</v>
      </c>
      <c r="B55" s="1607">
        <v>213</v>
      </c>
      <c r="C55" s="1611">
        <v>0.2</v>
      </c>
      <c r="D55" s="271" t="s">
        <v>278</v>
      </c>
      <c r="E55" s="2169"/>
      <c r="F55" s="898">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899">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899">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899">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899">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900">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2169"/>
      <c r="M55" s="898">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899">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899">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899">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899">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900">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2169"/>
      <c r="T55" s="898">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899">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899">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899">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899">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900">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592"/>
      <c r="AA55" s="1623"/>
    </row>
    <row r="56" spans="1:28">
      <c r="A56" s="1610">
        <v>14</v>
      </c>
      <c r="B56" s="1612"/>
      <c r="C56" s="1612"/>
      <c r="D56" s="524" t="s">
        <v>844</v>
      </c>
      <c r="E56" s="2169"/>
      <c r="F56" s="898">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899">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899">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899">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899">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900">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2169"/>
      <c r="M56" s="898">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899">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899">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899">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899">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900">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2169"/>
      <c r="T56" s="898">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899">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899">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899">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899">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900">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592"/>
      <c r="AA56" s="1599"/>
      <c r="AB56" s="1562"/>
    </row>
    <row r="57" spans="1:28">
      <c r="A57" s="1610">
        <v>15</v>
      </c>
      <c r="B57" s="1624">
        <v>207</v>
      </c>
      <c r="C57" s="1625" t="s">
        <v>380</v>
      </c>
      <c r="D57" s="271" t="s">
        <v>587</v>
      </c>
      <c r="E57" s="2169"/>
      <c r="F57" s="898">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899">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899">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899">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899">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900">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2169"/>
      <c r="M57" s="898">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899">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899">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899">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899">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900">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2169"/>
      <c r="T57" s="898">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899">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899">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899">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899">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900">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592"/>
      <c r="AA57" s="1623"/>
    </row>
    <row r="58" spans="1:28" ht="13.5" thickBot="1">
      <c r="A58" s="1610">
        <v>16</v>
      </c>
      <c r="B58" s="1626">
        <v>219</v>
      </c>
      <c r="C58" s="1625">
        <v>0.1</v>
      </c>
      <c r="D58" s="276" t="s">
        <v>279</v>
      </c>
      <c r="E58" s="2170">
        <v>30</v>
      </c>
      <c r="F58" s="898">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30</v>
      </c>
      <c r="G58" s="899">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30</v>
      </c>
      <c r="H58" s="899">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30</v>
      </c>
      <c r="I58" s="899">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11</v>
      </c>
      <c r="J58" s="899">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900">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2170"/>
      <c r="M58" s="898">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899">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899">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899">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899">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900">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2170"/>
      <c r="T58" s="898">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899">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899">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899">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899">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900">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592"/>
      <c r="AA58" s="1623"/>
    </row>
    <row r="59" spans="1:28" ht="13.5" thickBot="1">
      <c r="A59" s="1615" t="s">
        <v>282</v>
      </c>
      <c r="B59" s="1616"/>
      <c r="C59" s="1616"/>
      <c r="D59" s="1586" t="s">
        <v>283</v>
      </c>
      <c r="E59" s="648">
        <f t="shared" ref="E59:Y59" si="7">SUM(E60:E83)-E62-E68</f>
        <v>4616</v>
      </c>
      <c r="F59" s="241">
        <f t="shared" si="7"/>
        <v>4902.0899999999983</v>
      </c>
      <c r="G59" s="242">
        <f t="shared" si="7"/>
        <v>5196.319132270809</v>
      </c>
      <c r="H59" s="242">
        <f t="shared" si="7"/>
        <v>5502.4435748630149</v>
      </c>
      <c r="I59" s="242">
        <f t="shared" si="7"/>
        <v>5799.8387597091423</v>
      </c>
      <c r="J59" s="242">
        <f t="shared" si="7"/>
        <v>6111.6947794719044</v>
      </c>
      <c r="K59" s="243">
        <f t="shared" si="7"/>
        <v>6453.1388845111433</v>
      </c>
      <c r="L59" s="648">
        <f t="shared" si="7"/>
        <v>847</v>
      </c>
      <c r="M59" s="241">
        <f t="shared" si="7"/>
        <v>916.05</v>
      </c>
      <c r="N59" s="242">
        <f t="shared" si="7"/>
        <v>1025.4470181174229</v>
      </c>
      <c r="O59" s="242">
        <f t="shared" si="7"/>
        <v>1174.5574282028579</v>
      </c>
      <c r="P59" s="242">
        <f t="shared" si="7"/>
        <v>1324.6993978096682</v>
      </c>
      <c r="Q59" s="242">
        <f t="shared" si="7"/>
        <v>1482.5918310996994</v>
      </c>
      <c r="R59" s="243">
        <f t="shared" si="7"/>
        <v>1644.9511513581888</v>
      </c>
      <c r="S59" s="648">
        <f t="shared" si="7"/>
        <v>29</v>
      </c>
      <c r="T59" s="241">
        <f t="shared" si="7"/>
        <v>33.619999999999997</v>
      </c>
      <c r="U59" s="242">
        <f t="shared" si="7"/>
        <v>40.793849611769517</v>
      </c>
      <c r="V59" s="242">
        <f t="shared" si="7"/>
        <v>56.54899693412834</v>
      </c>
      <c r="W59" s="242">
        <f t="shared" si="7"/>
        <v>82.901842481190471</v>
      </c>
      <c r="X59" s="242">
        <f t="shared" si="7"/>
        <v>112.92338942839746</v>
      </c>
      <c r="Y59" s="243">
        <f t="shared" si="7"/>
        <v>146.51996413066817</v>
      </c>
      <c r="Z59" s="1587"/>
      <c r="AA59" s="1588"/>
      <c r="AB59" s="1568"/>
    </row>
    <row r="60" spans="1:28">
      <c r="A60" s="1589">
        <v>1</v>
      </c>
      <c r="B60" s="1589">
        <v>20101</v>
      </c>
      <c r="C60" s="1625">
        <v>0</v>
      </c>
      <c r="D60" s="264" t="s">
        <v>758</v>
      </c>
      <c r="E60" s="2169"/>
      <c r="F60" s="883">
        <f t="shared" ref="F60:K61" si="8">E60+F35</f>
        <v>0</v>
      </c>
      <c r="G60" s="884">
        <f t="shared" si="8"/>
        <v>0</v>
      </c>
      <c r="H60" s="884">
        <f t="shared" si="8"/>
        <v>0</v>
      </c>
      <c r="I60" s="884">
        <f t="shared" si="8"/>
        <v>0</v>
      </c>
      <c r="J60" s="884">
        <f t="shared" si="8"/>
        <v>0</v>
      </c>
      <c r="K60" s="885">
        <f t="shared" si="8"/>
        <v>0</v>
      </c>
      <c r="L60" s="2169"/>
      <c r="M60" s="883">
        <f t="shared" ref="M60:R61" si="9">L60+M35</f>
        <v>0</v>
      </c>
      <c r="N60" s="884">
        <f t="shared" si="9"/>
        <v>0</v>
      </c>
      <c r="O60" s="884">
        <f t="shared" si="9"/>
        <v>0</v>
      </c>
      <c r="P60" s="884">
        <f t="shared" si="9"/>
        <v>0</v>
      </c>
      <c r="Q60" s="884">
        <f t="shared" si="9"/>
        <v>0</v>
      </c>
      <c r="R60" s="885">
        <f t="shared" si="9"/>
        <v>0</v>
      </c>
      <c r="S60" s="2169"/>
      <c r="T60" s="883">
        <f t="shared" ref="T60:Y61" si="10">S60+T35</f>
        <v>0</v>
      </c>
      <c r="U60" s="884">
        <f t="shared" si="10"/>
        <v>0</v>
      </c>
      <c r="V60" s="884">
        <f t="shared" si="10"/>
        <v>0</v>
      </c>
      <c r="W60" s="884">
        <f t="shared" si="10"/>
        <v>0</v>
      </c>
      <c r="X60" s="884">
        <f t="shared" si="10"/>
        <v>0</v>
      </c>
      <c r="Y60" s="885">
        <f t="shared" si="10"/>
        <v>0</v>
      </c>
      <c r="Z60" s="1592"/>
      <c r="AA60" s="1593"/>
      <c r="AB60" s="1562"/>
    </row>
    <row r="61" spans="1:28">
      <c r="A61" s="1594">
        <v>2</v>
      </c>
      <c r="B61" s="1594">
        <v>20201</v>
      </c>
      <c r="C61" s="1627">
        <v>0.03</v>
      </c>
      <c r="D61" s="267" t="s">
        <v>597</v>
      </c>
      <c r="E61" s="2627">
        <v>495</v>
      </c>
      <c r="F61" s="886">
        <f t="shared" si="8"/>
        <v>520.84</v>
      </c>
      <c r="G61" s="887">
        <f t="shared" si="8"/>
        <v>547.81744993870052</v>
      </c>
      <c r="H61" s="887">
        <f t="shared" si="8"/>
        <v>578.44949828210542</v>
      </c>
      <c r="I61" s="887">
        <f t="shared" si="8"/>
        <v>612.72136489994773</v>
      </c>
      <c r="J61" s="887">
        <f t="shared" si="8"/>
        <v>648.45156636085881</v>
      </c>
      <c r="K61" s="888">
        <f t="shared" si="8"/>
        <v>685.98743569836063</v>
      </c>
      <c r="L61" s="2627">
        <v>62</v>
      </c>
      <c r="M61" s="886">
        <f t="shared" si="9"/>
        <v>67.03</v>
      </c>
      <c r="N61" s="887">
        <f t="shared" si="9"/>
        <v>72.663481814466692</v>
      </c>
      <c r="O61" s="887">
        <f t="shared" si="9"/>
        <v>80.599978584627138</v>
      </c>
      <c r="P61" s="887">
        <f t="shared" si="9"/>
        <v>89.663702208007919</v>
      </c>
      <c r="Q61" s="887">
        <f t="shared" si="9"/>
        <v>99.146007082680484</v>
      </c>
      <c r="R61" s="888">
        <f t="shared" si="9"/>
        <v>109.35844822170679</v>
      </c>
      <c r="S61" s="2627">
        <v>3</v>
      </c>
      <c r="T61" s="886">
        <f t="shared" si="10"/>
        <v>3.22</v>
      </c>
      <c r="U61" s="887">
        <f t="shared" si="10"/>
        <v>3.5890682468328565</v>
      </c>
      <c r="V61" s="887">
        <f t="shared" si="10"/>
        <v>4.5405231332675307</v>
      </c>
      <c r="W61" s="887">
        <f t="shared" si="10"/>
        <v>6.1249328920444794</v>
      </c>
      <c r="X61" s="887">
        <f t="shared" si="10"/>
        <v>7.6324265564608602</v>
      </c>
      <c r="Y61" s="888">
        <f t="shared" si="10"/>
        <v>9.1541160799327308</v>
      </c>
      <c r="Z61" s="1592"/>
      <c r="AA61" s="1597"/>
      <c r="AB61" s="1562"/>
    </row>
    <row r="62" spans="1:28" ht="24.75" customHeight="1">
      <c r="A62" s="1594">
        <v>3</v>
      </c>
      <c r="B62" s="1595">
        <v>203</v>
      </c>
      <c r="C62" s="1591"/>
      <c r="D62" s="1544" t="s">
        <v>577</v>
      </c>
      <c r="E62" s="1598">
        <f>SUM(E63:E66)</f>
        <v>1564</v>
      </c>
      <c r="F62" s="963">
        <f t="shared" ref="F62:Y62" si="11">SUM(F63:F66)</f>
        <v>1639.55</v>
      </c>
      <c r="G62" s="959">
        <f t="shared" si="11"/>
        <v>1718.25</v>
      </c>
      <c r="H62" s="959">
        <f t="shared" si="11"/>
        <v>1797.9499999999998</v>
      </c>
      <c r="I62" s="959">
        <f t="shared" si="11"/>
        <v>1883.4499999999998</v>
      </c>
      <c r="J62" s="959">
        <f t="shared" si="11"/>
        <v>1989.6999999999998</v>
      </c>
      <c r="K62" s="959">
        <f t="shared" si="11"/>
        <v>2116.6499999999996</v>
      </c>
      <c r="L62" s="1598">
        <f>SUM(L63:L66)</f>
        <v>270</v>
      </c>
      <c r="M62" s="963">
        <f t="shared" si="11"/>
        <v>285.5</v>
      </c>
      <c r="N62" s="959">
        <f t="shared" si="11"/>
        <v>338.70000000000005</v>
      </c>
      <c r="O62" s="959">
        <f t="shared" si="11"/>
        <v>422.20000000000005</v>
      </c>
      <c r="P62" s="959">
        <f t="shared" si="11"/>
        <v>504.9</v>
      </c>
      <c r="Q62" s="959">
        <f t="shared" si="11"/>
        <v>599.10000000000014</v>
      </c>
      <c r="R62" s="959">
        <f t="shared" si="11"/>
        <v>710.35</v>
      </c>
      <c r="S62" s="1598">
        <f>SUM(S63:S66)</f>
        <v>15</v>
      </c>
      <c r="T62" s="963">
        <f t="shared" si="11"/>
        <v>18.399999999999999</v>
      </c>
      <c r="U62" s="959">
        <f t="shared" si="11"/>
        <v>23.7</v>
      </c>
      <c r="V62" s="959">
        <f t="shared" si="11"/>
        <v>31.700000000000003</v>
      </c>
      <c r="W62" s="959">
        <f t="shared" si="11"/>
        <v>43.95</v>
      </c>
      <c r="X62" s="959">
        <f t="shared" si="11"/>
        <v>59.95</v>
      </c>
      <c r="Y62" s="962">
        <f t="shared" si="11"/>
        <v>79.599999999999994</v>
      </c>
      <c r="Z62" s="1592"/>
      <c r="AA62" s="1622"/>
      <c r="AB62" s="1562"/>
    </row>
    <row r="63" spans="1:28">
      <c r="A63" s="1594"/>
      <c r="B63" s="1595">
        <v>20301</v>
      </c>
      <c r="C63" s="1600">
        <v>0.1</v>
      </c>
      <c r="D63" s="1545" t="s">
        <v>599</v>
      </c>
      <c r="E63" s="2169">
        <v>239</v>
      </c>
      <c r="F63" s="886">
        <f t="shared" ref="F63:K67" si="12">E63+F38</f>
        <v>245.2</v>
      </c>
      <c r="G63" s="887">
        <f t="shared" si="12"/>
        <v>251.39999999999998</v>
      </c>
      <c r="H63" s="887">
        <f t="shared" si="12"/>
        <v>257.59999999999997</v>
      </c>
      <c r="I63" s="887">
        <f t="shared" si="12"/>
        <v>263.79999999999995</v>
      </c>
      <c r="J63" s="887">
        <f t="shared" si="12"/>
        <v>269.99999999999994</v>
      </c>
      <c r="K63" s="888">
        <f t="shared" si="12"/>
        <v>275.19999999999993</v>
      </c>
      <c r="L63" s="2169">
        <v>25</v>
      </c>
      <c r="M63" s="886">
        <f t="shared" ref="M63:R67" si="13">L63+M38</f>
        <v>26.1</v>
      </c>
      <c r="N63" s="887">
        <f t="shared" si="13"/>
        <v>27.200000000000003</v>
      </c>
      <c r="O63" s="887">
        <f t="shared" si="13"/>
        <v>28.300000000000004</v>
      </c>
      <c r="P63" s="887">
        <f t="shared" si="13"/>
        <v>29.400000000000006</v>
      </c>
      <c r="Q63" s="887">
        <f t="shared" si="13"/>
        <v>30.500000000000007</v>
      </c>
      <c r="R63" s="888">
        <f t="shared" si="13"/>
        <v>31.600000000000009</v>
      </c>
      <c r="S63" s="2169">
        <v>6</v>
      </c>
      <c r="T63" s="886">
        <f t="shared" ref="T63:Y67" si="14">S63+T38</f>
        <v>7</v>
      </c>
      <c r="U63" s="887">
        <f t="shared" si="14"/>
        <v>8</v>
      </c>
      <c r="V63" s="887">
        <f t="shared" si="14"/>
        <v>9</v>
      </c>
      <c r="W63" s="887">
        <f t="shared" si="14"/>
        <v>10</v>
      </c>
      <c r="X63" s="887">
        <f t="shared" si="14"/>
        <v>11</v>
      </c>
      <c r="Y63" s="888">
        <f t="shared" si="14"/>
        <v>11</v>
      </c>
      <c r="Z63" s="1592"/>
      <c r="AA63" s="1622"/>
      <c r="AB63" s="1562"/>
    </row>
    <row r="64" spans="1:28">
      <c r="A64" s="1594"/>
      <c r="B64" s="1595">
        <v>20302</v>
      </c>
      <c r="C64" s="1600">
        <v>0.1</v>
      </c>
      <c r="D64" s="1545" t="s">
        <v>600</v>
      </c>
      <c r="E64" s="2169">
        <v>105</v>
      </c>
      <c r="F64" s="886">
        <f t="shared" si="12"/>
        <v>117</v>
      </c>
      <c r="G64" s="887">
        <f t="shared" si="12"/>
        <v>129</v>
      </c>
      <c r="H64" s="887">
        <f t="shared" si="12"/>
        <v>142</v>
      </c>
      <c r="I64" s="887">
        <f t="shared" si="12"/>
        <v>156.55000000000001</v>
      </c>
      <c r="J64" s="887">
        <f t="shared" si="12"/>
        <v>172.5</v>
      </c>
      <c r="K64" s="888">
        <f t="shared" si="12"/>
        <v>191.05</v>
      </c>
      <c r="L64" s="2169">
        <v>40</v>
      </c>
      <c r="M64" s="886">
        <f t="shared" si="13"/>
        <v>45</v>
      </c>
      <c r="N64" s="887">
        <f t="shared" si="13"/>
        <v>50</v>
      </c>
      <c r="O64" s="887">
        <f t="shared" si="13"/>
        <v>51</v>
      </c>
      <c r="P64" s="887">
        <f t="shared" si="13"/>
        <v>51</v>
      </c>
      <c r="Q64" s="887">
        <f t="shared" si="13"/>
        <v>51</v>
      </c>
      <c r="R64" s="888">
        <f t="shared" si="13"/>
        <v>51</v>
      </c>
      <c r="S64" s="2169">
        <v>5</v>
      </c>
      <c r="T64" s="886">
        <f t="shared" si="14"/>
        <v>6</v>
      </c>
      <c r="U64" s="887">
        <f t="shared" si="14"/>
        <v>7</v>
      </c>
      <c r="V64" s="887">
        <f t="shared" si="14"/>
        <v>8</v>
      </c>
      <c r="W64" s="887">
        <f t="shared" si="14"/>
        <v>9.5</v>
      </c>
      <c r="X64" s="887">
        <f t="shared" si="14"/>
        <v>11.75</v>
      </c>
      <c r="Y64" s="888">
        <f t="shared" si="14"/>
        <v>15.15</v>
      </c>
      <c r="Z64" s="1592"/>
      <c r="AA64" s="1622"/>
      <c r="AB64" s="1562"/>
    </row>
    <row r="65" spans="1:28">
      <c r="A65" s="1594"/>
      <c r="B65" s="1595">
        <v>20303</v>
      </c>
      <c r="C65" s="1591">
        <v>0.1</v>
      </c>
      <c r="D65" s="1545" t="s">
        <v>578</v>
      </c>
      <c r="E65" s="2169">
        <v>1131</v>
      </c>
      <c r="F65" s="886">
        <f t="shared" si="12"/>
        <v>1173.8</v>
      </c>
      <c r="G65" s="887">
        <f t="shared" si="12"/>
        <v>1216.5999999999999</v>
      </c>
      <c r="H65" s="887">
        <f t="shared" si="12"/>
        <v>1259.3999999999999</v>
      </c>
      <c r="I65" s="887">
        <f t="shared" si="12"/>
        <v>1304.4499999999998</v>
      </c>
      <c r="J65" s="887">
        <f t="shared" si="12"/>
        <v>1365.1</v>
      </c>
      <c r="K65" s="888">
        <f t="shared" si="12"/>
        <v>1441.35</v>
      </c>
      <c r="L65" s="2169">
        <v>188</v>
      </c>
      <c r="M65" s="886">
        <f t="shared" si="13"/>
        <v>190.55</v>
      </c>
      <c r="N65" s="887">
        <f t="shared" si="13"/>
        <v>227.95000000000002</v>
      </c>
      <c r="O65" s="887">
        <f t="shared" si="13"/>
        <v>299.65000000000003</v>
      </c>
      <c r="P65" s="887">
        <f t="shared" si="13"/>
        <v>371.35</v>
      </c>
      <c r="Q65" s="887">
        <f t="shared" si="13"/>
        <v>454.15000000000003</v>
      </c>
      <c r="R65" s="888">
        <f t="shared" si="13"/>
        <v>553.6</v>
      </c>
      <c r="S65" s="2169">
        <v>3</v>
      </c>
      <c r="T65" s="886">
        <f t="shared" si="14"/>
        <v>3.5</v>
      </c>
      <c r="U65" s="887">
        <f t="shared" si="14"/>
        <v>4.4000000000000004</v>
      </c>
      <c r="V65" s="887">
        <f t="shared" si="14"/>
        <v>5.3000000000000007</v>
      </c>
      <c r="W65" s="887">
        <f t="shared" si="14"/>
        <v>6.2000000000000011</v>
      </c>
      <c r="X65" s="887">
        <f t="shared" si="14"/>
        <v>6.6000000000000014</v>
      </c>
      <c r="Y65" s="888">
        <f t="shared" si="14"/>
        <v>7.0000000000000018</v>
      </c>
      <c r="Z65" s="1592"/>
      <c r="AA65" s="1622"/>
      <c r="AB65" s="1562"/>
    </row>
    <row r="66" spans="1:28">
      <c r="A66" s="1594"/>
      <c r="B66" s="1595">
        <v>20306</v>
      </c>
      <c r="C66" s="1591">
        <v>0.1</v>
      </c>
      <c r="D66" s="1545" t="s">
        <v>581</v>
      </c>
      <c r="E66" s="2169">
        <v>89</v>
      </c>
      <c r="F66" s="886">
        <f t="shared" si="12"/>
        <v>103.55</v>
      </c>
      <c r="G66" s="887">
        <f t="shared" si="12"/>
        <v>121.25</v>
      </c>
      <c r="H66" s="887">
        <f t="shared" si="12"/>
        <v>138.94999999999999</v>
      </c>
      <c r="I66" s="887">
        <f t="shared" si="12"/>
        <v>158.64999999999998</v>
      </c>
      <c r="J66" s="887">
        <f t="shared" si="12"/>
        <v>182.09999999999997</v>
      </c>
      <c r="K66" s="888">
        <f t="shared" si="12"/>
        <v>209.04999999999995</v>
      </c>
      <c r="L66" s="2169">
        <v>17</v>
      </c>
      <c r="M66" s="886">
        <f t="shared" si="13"/>
        <v>23.85</v>
      </c>
      <c r="N66" s="887">
        <f t="shared" si="13"/>
        <v>33.549999999999997</v>
      </c>
      <c r="O66" s="887">
        <f t="shared" si="13"/>
        <v>43.25</v>
      </c>
      <c r="P66" s="887">
        <f t="shared" si="13"/>
        <v>53.15</v>
      </c>
      <c r="Q66" s="887">
        <f t="shared" si="13"/>
        <v>63.45</v>
      </c>
      <c r="R66" s="888">
        <f t="shared" si="13"/>
        <v>74.150000000000006</v>
      </c>
      <c r="S66" s="2169">
        <v>1</v>
      </c>
      <c r="T66" s="886">
        <f t="shared" si="14"/>
        <v>1.9</v>
      </c>
      <c r="U66" s="887">
        <f t="shared" si="14"/>
        <v>4.3000000000000007</v>
      </c>
      <c r="V66" s="887">
        <f t="shared" si="14"/>
        <v>9.4</v>
      </c>
      <c r="W66" s="887">
        <f t="shared" si="14"/>
        <v>18.25</v>
      </c>
      <c r="X66" s="887">
        <f t="shared" si="14"/>
        <v>30.6</v>
      </c>
      <c r="Y66" s="888">
        <f t="shared" si="14"/>
        <v>46.45</v>
      </c>
      <c r="Z66" s="1592"/>
      <c r="AA66" s="1623"/>
    </row>
    <row r="67" spans="1:28">
      <c r="A67" s="1594">
        <v>4</v>
      </c>
      <c r="B67" s="1595">
        <v>20403</v>
      </c>
      <c r="C67" s="1600">
        <v>0.04</v>
      </c>
      <c r="D67" s="1546" t="s">
        <v>606</v>
      </c>
      <c r="E67" s="2169"/>
      <c r="F67" s="886">
        <f t="shared" si="12"/>
        <v>0</v>
      </c>
      <c r="G67" s="887">
        <f t="shared" si="12"/>
        <v>0</v>
      </c>
      <c r="H67" s="887">
        <f t="shared" si="12"/>
        <v>0</v>
      </c>
      <c r="I67" s="887">
        <f t="shared" si="12"/>
        <v>0</v>
      </c>
      <c r="J67" s="887">
        <f t="shared" si="12"/>
        <v>0</v>
      </c>
      <c r="K67" s="888">
        <f t="shared" si="12"/>
        <v>0</v>
      </c>
      <c r="L67" s="2169"/>
      <c r="M67" s="886">
        <f t="shared" si="13"/>
        <v>0</v>
      </c>
      <c r="N67" s="887">
        <f t="shared" si="13"/>
        <v>0</v>
      </c>
      <c r="O67" s="887">
        <f t="shared" si="13"/>
        <v>0</v>
      </c>
      <c r="P67" s="887">
        <f t="shared" si="13"/>
        <v>0</v>
      </c>
      <c r="Q67" s="887">
        <f t="shared" si="13"/>
        <v>0</v>
      </c>
      <c r="R67" s="888">
        <f t="shared" si="13"/>
        <v>0</v>
      </c>
      <c r="S67" s="2169"/>
      <c r="T67" s="886">
        <f t="shared" si="14"/>
        <v>0</v>
      </c>
      <c r="U67" s="887">
        <f t="shared" si="14"/>
        <v>0</v>
      </c>
      <c r="V67" s="887">
        <f t="shared" si="14"/>
        <v>0</v>
      </c>
      <c r="W67" s="887">
        <f t="shared" si="14"/>
        <v>0</v>
      </c>
      <c r="X67" s="887">
        <f t="shared" si="14"/>
        <v>0</v>
      </c>
      <c r="Y67" s="888">
        <f t="shared" si="14"/>
        <v>0</v>
      </c>
      <c r="Z67" s="1592"/>
      <c r="AA67" s="1623"/>
    </row>
    <row r="68" spans="1:28">
      <c r="A68" s="1594">
        <v>5</v>
      </c>
      <c r="B68" s="1595">
        <v>205</v>
      </c>
      <c r="C68" s="1591"/>
      <c r="D68" s="1544" t="s">
        <v>275</v>
      </c>
      <c r="E68" s="1603">
        <f t="shared" ref="E68:Y68" si="15">SUM(E69:E72)</f>
        <v>1805</v>
      </c>
      <c r="F68" s="963">
        <f t="shared" si="15"/>
        <v>1924.4</v>
      </c>
      <c r="G68" s="959">
        <f t="shared" si="15"/>
        <v>2045.7559324342735</v>
      </c>
      <c r="H68" s="959">
        <f t="shared" si="15"/>
        <v>2170.129885341129</v>
      </c>
      <c r="I68" s="959">
        <f t="shared" si="15"/>
        <v>2299.2363591514159</v>
      </c>
      <c r="J68" s="959">
        <f t="shared" si="15"/>
        <v>2433.0968336280648</v>
      </c>
      <c r="K68" s="959">
        <f t="shared" si="15"/>
        <v>2570.0735422481152</v>
      </c>
      <c r="L68" s="1603">
        <f t="shared" si="15"/>
        <v>412</v>
      </c>
      <c r="M68" s="963">
        <f t="shared" si="15"/>
        <v>454.21999999999997</v>
      </c>
      <c r="N68" s="959">
        <f t="shared" si="15"/>
        <v>497.47773327884477</v>
      </c>
      <c r="O68" s="959">
        <f t="shared" si="15"/>
        <v>542.71455970101613</v>
      </c>
      <c r="P68" s="959">
        <f t="shared" si="15"/>
        <v>589.64287205511505</v>
      </c>
      <c r="Q68" s="959">
        <f t="shared" si="15"/>
        <v>643.07629199250459</v>
      </c>
      <c r="R68" s="959">
        <f t="shared" si="15"/>
        <v>683.19198245066127</v>
      </c>
      <c r="S68" s="1603">
        <f t="shared" si="15"/>
        <v>2</v>
      </c>
      <c r="T68" s="963">
        <f t="shared" si="15"/>
        <v>2</v>
      </c>
      <c r="U68" s="959">
        <f t="shared" si="15"/>
        <v>2.2563342868818963</v>
      </c>
      <c r="V68" s="959">
        <f t="shared" si="15"/>
        <v>6.5155549578550156</v>
      </c>
      <c r="W68" s="959">
        <f t="shared" si="15"/>
        <v>14.600768793469364</v>
      </c>
      <c r="X68" s="959">
        <f t="shared" si="15"/>
        <v>22.50687437943099</v>
      </c>
      <c r="Y68" s="962">
        <f t="shared" si="15"/>
        <v>30.294475301223649</v>
      </c>
      <c r="Z68" s="1592"/>
      <c r="AA68" s="1623"/>
    </row>
    <row r="69" spans="1:28">
      <c r="A69" s="1607"/>
      <c r="B69" s="1608">
        <v>20501</v>
      </c>
      <c r="C69" s="1591">
        <v>0.08</v>
      </c>
      <c r="D69" s="1547" t="s">
        <v>582</v>
      </c>
      <c r="E69" s="2169">
        <v>676</v>
      </c>
      <c r="F69" s="886">
        <f t="shared" ref="F69:K73" si="16">E69+F44</f>
        <v>732.2</v>
      </c>
      <c r="G69" s="887">
        <f t="shared" si="16"/>
        <v>788.40000000000009</v>
      </c>
      <c r="H69" s="887">
        <f t="shared" si="16"/>
        <v>844.60000000000014</v>
      </c>
      <c r="I69" s="887">
        <f t="shared" si="16"/>
        <v>900.80000000000018</v>
      </c>
      <c r="J69" s="887">
        <f t="shared" si="16"/>
        <v>957.00000000000023</v>
      </c>
      <c r="K69" s="888">
        <f t="shared" si="16"/>
        <v>1013.2000000000003</v>
      </c>
      <c r="L69" s="2169">
        <v>331</v>
      </c>
      <c r="M69" s="886">
        <f t="shared" ref="M69:R74" si="17">L69+M44</f>
        <v>360.52</v>
      </c>
      <c r="N69" s="887">
        <f t="shared" si="17"/>
        <v>390.03999999999996</v>
      </c>
      <c r="O69" s="887">
        <f t="shared" si="17"/>
        <v>419.55999999999995</v>
      </c>
      <c r="P69" s="887">
        <f t="shared" si="17"/>
        <v>449.07999999999993</v>
      </c>
      <c r="Q69" s="887">
        <f t="shared" si="17"/>
        <v>483.67999999999995</v>
      </c>
      <c r="R69" s="888">
        <f t="shared" si="17"/>
        <v>504.95999999999992</v>
      </c>
      <c r="S69" s="2169"/>
      <c r="T69" s="886">
        <f t="shared" ref="T69:Y74" si="18">S69+T44</f>
        <v>0</v>
      </c>
      <c r="U69" s="887">
        <f t="shared" si="18"/>
        <v>0</v>
      </c>
      <c r="V69" s="887">
        <f t="shared" si="18"/>
        <v>0</v>
      </c>
      <c r="W69" s="887">
        <f t="shared" si="18"/>
        <v>0</v>
      </c>
      <c r="X69" s="887">
        <f t="shared" si="18"/>
        <v>0</v>
      </c>
      <c r="Y69" s="888">
        <f t="shared" si="18"/>
        <v>0</v>
      </c>
      <c r="Z69" s="1592"/>
      <c r="AA69" s="1623"/>
    </row>
    <row r="70" spans="1:28">
      <c r="A70" s="1607"/>
      <c r="B70" s="1608">
        <v>20502</v>
      </c>
      <c r="C70" s="1591">
        <v>0.1</v>
      </c>
      <c r="D70" s="1547" t="s">
        <v>583</v>
      </c>
      <c r="E70" s="2169">
        <v>783</v>
      </c>
      <c r="F70" s="886">
        <f t="shared" si="16"/>
        <v>846.2</v>
      </c>
      <c r="G70" s="887">
        <f t="shared" si="16"/>
        <v>909.40000000000009</v>
      </c>
      <c r="H70" s="887">
        <f t="shared" si="16"/>
        <v>973.87901646176294</v>
      </c>
      <c r="I70" s="887">
        <f t="shared" si="16"/>
        <v>1042.8225739296074</v>
      </c>
      <c r="J70" s="887">
        <f t="shared" si="16"/>
        <v>1116.3700407609638</v>
      </c>
      <c r="K70" s="888">
        <f t="shared" si="16"/>
        <v>1192.9650579237118</v>
      </c>
      <c r="L70" s="2169">
        <v>58</v>
      </c>
      <c r="M70" s="886">
        <f t="shared" si="17"/>
        <v>69.7</v>
      </c>
      <c r="N70" s="887">
        <f t="shared" si="17"/>
        <v>81.400000000000006</v>
      </c>
      <c r="O70" s="887">
        <f t="shared" si="17"/>
        <v>93.875755365701195</v>
      </c>
      <c r="P70" s="887">
        <f t="shared" si="17"/>
        <v>108.38824678328713</v>
      </c>
      <c r="Q70" s="887">
        <f t="shared" si="17"/>
        <v>124.37010039403739</v>
      </c>
      <c r="R70" s="888">
        <f t="shared" si="17"/>
        <v>140.35288285419242</v>
      </c>
      <c r="S70" s="2169">
        <v>1</v>
      </c>
      <c r="T70" s="886">
        <f t="shared" si="18"/>
        <v>1</v>
      </c>
      <c r="U70" s="887">
        <f t="shared" si="18"/>
        <v>1</v>
      </c>
      <c r="V70" s="887">
        <f t="shared" si="18"/>
        <v>4.1952281725359448</v>
      </c>
      <c r="W70" s="887">
        <f t="shared" si="18"/>
        <v>10.639179287105451</v>
      </c>
      <c r="X70" s="887">
        <f t="shared" si="18"/>
        <v>17.009858844998842</v>
      </c>
      <c r="Y70" s="888">
        <f t="shared" si="18"/>
        <v>23.33205922209584</v>
      </c>
      <c r="Z70" s="1592"/>
      <c r="AA70" s="1623"/>
    </row>
    <row r="71" spans="1:28">
      <c r="A71" s="1607"/>
      <c r="B71" s="1608">
        <v>20503</v>
      </c>
      <c r="C71" s="1591">
        <v>0.1</v>
      </c>
      <c r="D71" s="1545" t="s">
        <v>584</v>
      </c>
      <c r="E71" s="2169">
        <v>346</v>
      </c>
      <c r="F71" s="886">
        <f t="shared" si="16"/>
        <v>346</v>
      </c>
      <c r="G71" s="887">
        <f t="shared" si="16"/>
        <v>347.95593243427328</v>
      </c>
      <c r="H71" s="887">
        <f t="shared" si="16"/>
        <v>351.65086887936599</v>
      </c>
      <c r="I71" s="887">
        <f t="shared" si="16"/>
        <v>355.61378522180814</v>
      </c>
      <c r="J71" s="887">
        <f t="shared" si="16"/>
        <v>359.72679286710064</v>
      </c>
      <c r="K71" s="888">
        <f t="shared" si="16"/>
        <v>363.90848432440328</v>
      </c>
      <c r="L71" s="2169">
        <v>23</v>
      </c>
      <c r="M71" s="886">
        <f t="shared" si="17"/>
        <v>24</v>
      </c>
      <c r="N71" s="887">
        <f t="shared" si="17"/>
        <v>26.037733278844843</v>
      </c>
      <c r="O71" s="887">
        <f t="shared" si="17"/>
        <v>29.278804335314941</v>
      </c>
      <c r="P71" s="887">
        <f t="shared" si="17"/>
        <v>32.174625271827964</v>
      </c>
      <c r="Q71" s="887">
        <f t="shared" si="17"/>
        <v>35.026191598467229</v>
      </c>
      <c r="R71" s="888">
        <f t="shared" si="17"/>
        <v>37.87909959646894</v>
      </c>
      <c r="S71" s="2169">
        <v>1</v>
      </c>
      <c r="T71" s="886">
        <f t="shared" si="18"/>
        <v>1</v>
      </c>
      <c r="U71" s="887">
        <f t="shared" si="18"/>
        <v>1.2563342868818963</v>
      </c>
      <c r="V71" s="887">
        <f t="shared" si="18"/>
        <v>2.3203267853190708</v>
      </c>
      <c r="W71" s="887">
        <f t="shared" si="18"/>
        <v>3.961589506363913</v>
      </c>
      <c r="X71" s="887">
        <f t="shared" si="18"/>
        <v>5.4970155344321459</v>
      </c>
      <c r="Y71" s="888">
        <f t="shared" si="18"/>
        <v>6.9624160791278094</v>
      </c>
      <c r="Z71" s="1592"/>
      <c r="AA71" s="1623"/>
    </row>
    <row r="72" spans="1:28">
      <c r="A72" s="1607"/>
      <c r="B72" s="1608">
        <v>20504</v>
      </c>
      <c r="C72" s="1591">
        <v>0.1</v>
      </c>
      <c r="D72" s="1545" t="s">
        <v>759</v>
      </c>
      <c r="E72" s="2169"/>
      <c r="F72" s="886">
        <f t="shared" si="16"/>
        <v>0</v>
      </c>
      <c r="G72" s="887">
        <f t="shared" si="16"/>
        <v>0</v>
      </c>
      <c r="H72" s="887">
        <f t="shared" si="16"/>
        <v>0</v>
      </c>
      <c r="I72" s="887">
        <f t="shared" si="16"/>
        <v>0</v>
      </c>
      <c r="J72" s="887">
        <f t="shared" si="16"/>
        <v>0</v>
      </c>
      <c r="K72" s="888">
        <f t="shared" si="16"/>
        <v>0</v>
      </c>
      <c r="L72" s="2169"/>
      <c r="M72" s="886">
        <f t="shared" si="17"/>
        <v>0</v>
      </c>
      <c r="N72" s="887">
        <f t="shared" si="17"/>
        <v>0</v>
      </c>
      <c r="O72" s="887">
        <f t="shared" si="17"/>
        <v>0</v>
      </c>
      <c r="P72" s="887">
        <f t="shared" si="17"/>
        <v>0</v>
      </c>
      <c r="Q72" s="887">
        <f t="shared" si="17"/>
        <v>0</v>
      </c>
      <c r="R72" s="888">
        <f t="shared" si="17"/>
        <v>0</v>
      </c>
      <c r="S72" s="2169"/>
      <c r="T72" s="886">
        <f t="shared" si="18"/>
        <v>0</v>
      </c>
      <c r="U72" s="887">
        <f t="shared" si="18"/>
        <v>0</v>
      </c>
      <c r="V72" s="887">
        <f t="shared" si="18"/>
        <v>0</v>
      </c>
      <c r="W72" s="887">
        <f t="shared" si="18"/>
        <v>0</v>
      </c>
      <c r="X72" s="887">
        <f t="shared" si="18"/>
        <v>0</v>
      </c>
      <c r="Y72" s="888">
        <f t="shared" si="18"/>
        <v>0</v>
      </c>
      <c r="Z72" s="1592"/>
      <c r="AA72" s="1623"/>
    </row>
    <row r="73" spans="1:28">
      <c r="A73" s="1607">
        <v>6</v>
      </c>
      <c r="B73" s="1608">
        <v>208</v>
      </c>
      <c r="C73" s="1591">
        <v>0.2</v>
      </c>
      <c r="D73" s="1546" t="s">
        <v>585</v>
      </c>
      <c r="E73" s="2169">
        <v>125</v>
      </c>
      <c r="F73" s="886">
        <f t="shared" si="16"/>
        <v>132.80000000000001</v>
      </c>
      <c r="G73" s="887">
        <f t="shared" si="16"/>
        <v>140.60000000000002</v>
      </c>
      <c r="H73" s="887">
        <f t="shared" si="16"/>
        <v>151.810710564701</v>
      </c>
      <c r="I73" s="887">
        <f t="shared" si="16"/>
        <v>169.97526099878041</v>
      </c>
      <c r="J73" s="887">
        <f t="shared" si="16"/>
        <v>193.59452117298235</v>
      </c>
      <c r="K73" s="888">
        <f t="shared" si="16"/>
        <v>221.33797273857951</v>
      </c>
      <c r="L73" s="2169">
        <v>24</v>
      </c>
      <c r="M73" s="886">
        <f t="shared" si="17"/>
        <v>25</v>
      </c>
      <c r="N73" s="887">
        <f t="shared" si="17"/>
        <v>26</v>
      </c>
      <c r="O73" s="887">
        <f t="shared" si="17"/>
        <v>29.068680975203169</v>
      </c>
      <c r="P73" s="887">
        <f t="shared" si="17"/>
        <v>30.02698188608338</v>
      </c>
      <c r="Q73" s="887">
        <f t="shared" si="17"/>
        <v>23.148390834695942</v>
      </c>
      <c r="R73" s="888">
        <f t="shared" si="17"/>
        <v>17.985336671319477</v>
      </c>
      <c r="S73" s="2169">
        <v>1</v>
      </c>
      <c r="T73" s="886">
        <f t="shared" si="18"/>
        <v>1</v>
      </c>
      <c r="U73" s="887">
        <f t="shared" si="18"/>
        <v>1</v>
      </c>
      <c r="V73" s="887">
        <f t="shared" si="18"/>
        <v>1.5206084600958532</v>
      </c>
      <c r="W73" s="887">
        <f t="shared" si="18"/>
        <v>3.1977571151362096</v>
      </c>
      <c r="X73" s="887">
        <f t="shared" si="18"/>
        <v>5.2570879923217202</v>
      </c>
      <c r="Y73" s="888">
        <f t="shared" si="18"/>
        <v>7.4766905901010379</v>
      </c>
      <c r="Z73" s="1592"/>
      <c r="AA73" s="1623"/>
    </row>
    <row r="74" spans="1:28">
      <c r="A74" s="1607">
        <v>7</v>
      </c>
      <c r="B74" s="1609">
        <v>20601</v>
      </c>
      <c r="C74" s="1600">
        <v>0.1</v>
      </c>
      <c r="D74" s="1546" t="s">
        <v>766</v>
      </c>
      <c r="E74" s="2169">
        <v>19</v>
      </c>
      <c r="F74" s="886">
        <f t="shared" ref="F74:K75" si="19">E74+F49</f>
        <v>19.7</v>
      </c>
      <c r="G74" s="887">
        <f t="shared" si="19"/>
        <v>22.295749897834082</v>
      </c>
      <c r="H74" s="887">
        <f t="shared" si="19"/>
        <v>26.86122187116186</v>
      </c>
      <c r="I74" s="887">
        <f t="shared" si="19"/>
        <v>32.316721482092419</v>
      </c>
      <c r="J74" s="887">
        <f t="shared" si="19"/>
        <v>38.5851010634115</v>
      </c>
      <c r="K74" s="888">
        <f t="shared" si="19"/>
        <v>45.589805106729308</v>
      </c>
      <c r="L74" s="2169"/>
      <c r="M74" s="886">
        <f t="shared" si="17"/>
        <v>0.1</v>
      </c>
      <c r="N74" s="887">
        <f t="shared" si="17"/>
        <v>1.205803024111157</v>
      </c>
      <c r="O74" s="887">
        <f t="shared" si="17"/>
        <v>3.6503081293414135</v>
      </c>
      <c r="P74" s="887">
        <f t="shared" si="17"/>
        <v>6.0252932531570407</v>
      </c>
      <c r="Q74" s="887">
        <f t="shared" si="17"/>
        <v>8.6320292030686616</v>
      </c>
      <c r="R74" s="888">
        <f t="shared" si="17"/>
        <v>11.525644338517392</v>
      </c>
      <c r="S74" s="2169">
        <v>4</v>
      </c>
      <c r="T74" s="886">
        <f t="shared" si="18"/>
        <v>5</v>
      </c>
      <c r="U74" s="887">
        <f t="shared" si="18"/>
        <v>6.2484470780547614</v>
      </c>
      <c r="V74" s="887">
        <f t="shared" si="18"/>
        <v>7.8384699994967288</v>
      </c>
      <c r="W74" s="887">
        <f t="shared" si="18"/>
        <v>9.607985264750539</v>
      </c>
      <c r="X74" s="887">
        <f t="shared" si="18"/>
        <v>11.332869733519839</v>
      </c>
      <c r="Y74" s="888">
        <f t="shared" si="18"/>
        <v>13.0345505547533</v>
      </c>
      <c r="Z74" s="1592"/>
      <c r="AA74" s="1623"/>
    </row>
    <row r="75" spans="1:28">
      <c r="A75" s="1610">
        <v>8</v>
      </c>
      <c r="B75" s="1609">
        <v>20602</v>
      </c>
      <c r="C75" s="1600">
        <v>0.1</v>
      </c>
      <c r="D75" s="1546" t="s">
        <v>607</v>
      </c>
      <c r="E75" s="2169">
        <v>186</v>
      </c>
      <c r="F75" s="886">
        <f t="shared" si="19"/>
        <v>190</v>
      </c>
      <c r="G75" s="887">
        <f t="shared" si="19"/>
        <v>194</v>
      </c>
      <c r="H75" s="887">
        <f t="shared" si="19"/>
        <v>194</v>
      </c>
      <c r="I75" s="887">
        <f t="shared" si="19"/>
        <v>194</v>
      </c>
      <c r="J75" s="887">
        <f t="shared" si="19"/>
        <v>194</v>
      </c>
      <c r="K75" s="888">
        <f t="shared" si="19"/>
        <v>194</v>
      </c>
      <c r="L75" s="2169">
        <v>36</v>
      </c>
      <c r="M75" s="886">
        <f t="shared" ref="M75:R75" si="20">L75+M50</f>
        <v>37</v>
      </c>
      <c r="N75" s="887">
        <f t="shared" si="20"/>
        <v>38</v>
      </c>
      <c r="O75" s="887">
        <f t="shared" si="20"/>
        <v>39</v>
      </c>
      <c r="P75" s="887">
        <f t="shared" si="20"/>
        <v>40</v>
      </c>
      <c r="Q75" s="887">
        <f t="shared" si="20"/>
        <v>41</v>
      </c>
      <c r="R75" s="888">
        <f t="shared" si="20"/>
        <v>41</v>
      </c>
      <c r="S75" s="2169">
        <v>2</v>
      </c>
      <c r="T75" s="886">
        <f t="shared" ref="T75:Y75" si="21">S75+T50</f>
        <v>2</v>
      </c>
      <c r="U75" s="887">
        <f>T75+U50</f>
        <v>2</v>
      </c>
      <c r="V75" s="887">
        <f t="shared" si="21"/>
        <v>2</v>
      </c>
      <c r="W75" s="887">
        <f t="shared" si="21"/>
        <v>2</v>
      </c>
      <c r="X75" s="887">
        <f t="shared" si="21"/>
        <v>2</v>
      </c>
      <c r="Y75" s="888">
        <f t="shared" si="21"/>
        <v>2</v>
      </c>
      <c r="Z75" s="1592"/>
      <c r="AA75" s="1623"/>
    </row>
    <row r="76" spans="1:28">
      <c r="A76" s="1610">
        <v>9</v>
      </c>
      <c r="B76" s="1608">
        <v>20603</v>
      </c>
      <c r="C76" s="1600">
        <v>0.5</v>
      </c>
      <c r="D76" s="1546" t="s">
        <v>1441</v>
      </c>
      <c r="E76" s="2169"/>
      <c r="F76" s="886">
        <f t="shared" ref="F76:K76" si="22">E76+F51</f>
        <v>0</v>
      </c>
      <c r="G76" s="887">
        <f t="shared" si="22"/>
        <v>0</v>
      </c>
      <c r="H76" s="887">
        <f t="shared" si="22"/>
        <v>0</v>
      </c>
      <c r="I76" s="887">
        <f t="shared" si="22"/>
        <v>0</v>
      </c>
      <c r="J76" s="887">
        <f t="shared" si="22"/>
        <v>0</v>
      </c>
      <c r="K76" s="888">
        <f t="shared" si="22"/>
        <v>0</v>
      </c>
      <c r="L76" s="2169"/>
      <c r="M76" s="886">
        <f t="shared" ref="M76:R76" si="23">L76+M51</f>
        <v>0</v>
      </c>
      <c r="N76" s="887">
        <f t="shared" si="23"/>
        <v>0</v>
      </c>
      <c r="O76" s="887">
        <f t="shared" si="23"/>
        <v>0</v>
      </c>
      <c r="P76" s="887">
        <f t="shared" si="23"/>
        <v>0</v>
      </c>
      <c r="Q76" s="887">
        <f t="shared" si="23"/>
        <v>0</v>
      </c>
      <c r="R76" s="888">
        <f t="shared" si="23"/>
        <v>0</v>
      </c>
      <c r="S76" s="2169"/>
      <c r="T76" s="886">
        <f t="shared" ref="T76:Y76" si="24">S76+T51</f>
        <v>0</v>
      </c>
      <c r="U76" s="887">
        <f t="shared" si="24"/>
        <v>0</v>
      </c>
      <c r="V76" s="887">
        <f t="shared" si="24"/>
        <v>0</v>
      </c>
      <c r="W76" s="887">
        <f t="shared" si="24"/>
        <v>0</v>
      </c>
      <c r="X76" s="887">
        <f t="shared" si="24"/>
        <v>0</v>
      </c>
      <c r="Y76" s="888">
        <f t="shared" si="24"/>
        <v>0</v>
      </c>
      <c r="Z76" s="1592"/>
      <c r="AA76" s="1623"/>
    </row>
    <row r="77" spans="1:28">
      <c r="A77" s="1610">
        <v>10</v>
      </c>
      <c r="B77" s="1608">
        <v>209</v>
      </c>
      <c r="C77" s="1591">
        <v>0.1</v>
      </c>
      <c r="D77" s="1546" t="s">
        <v>276</v>
      </c>
      <c r="E77" s="2169"/>
      <c r="F77" s="886">
        <f t="shared" ref="F77:K83" si="25">E77+F52</f>
        <v>0</v>
      </c>
      <c r="G77" s="887">
        <f t="shared" si="25"/>
        <v>0</v>
      </c>
      <c r="H77" s="887">
        <f t="shared" si="25"/>
        <v>0</v>
      </c>
      <c r="I77" s="887">
        <f t="shared" si="25"/>
        <v>0</v>
      </c>
      <c r="J77" s="887">
        <f t="shared" si="25"/>
        <v>0</v>
      </c>
      <c r="K77" s="888">
        <f t="shared" si="25"/>
        <v>0</v>
      </c>
      <c r="L77" s="2169"/>
      <c r="M77" s="886">
        <f t="shared" ref="M77:R77" si="26">L77+M52</f>
        <v>0</v>
      </c>
      <c r="N77" s="887">
        <f t="shared" si="26"/>
        <v>0</v>
      </c>
      <c r="O77" s="887">
        <f t="shared" si="26"/>
        <v>0</v>
      </c>
      <c r="P77" s="887">
        <f t="shared" si="26"/>
        <v>0</v>
      </c>
      <c r="Q77" s="887">
        <f t="shared" si="26"/>
        <v>0</v>
      </c>
      <c r="R77" s="888">
        <f t="shared" si="26"/>
        <v>0</v>
      </c>
      <c r="S77" s="2169"/>
      <c r="T77" s="886">
        <f t="shared" ref="T77:Y77" si="27">S77+T52</f>
        <v>0</v>
      </c>
      <c r="U77" s="887">
        <f t="shared" si="27"/>
        <v>0</v>
      </c>
      <c r="V77" s="887">
        <f t="shared" si="27"/>
        <v>0</v>
      </c>
      <c r="W77" s="887">
        <f t="shared" si="27"/>
        <v>0</v>
      </c>
      <c r="X77" s="887">
        <f t="shared" si="27"/>
        <v>0</v>
      </c>
      <c r="Y77" s="888">
        <f t="shared" si="27"/>
        <v>0</v>
      </c>
      <c r="Z77" s="1592"/>
      <c r="AA77" s="1623"/>
    </row>
    <row r="78" spans="1:28" ht="24">
      <c r="A78" s="1610">
        <v>11</v>
      </c>
      <c r="B78" s="1608">
        <v>207</v>
      </c>
      <c r="C78" s="1591" t="s">
        <v>380</v>
      </c>
      <c r="D78" s="1548" t="s">
        <v>586</v>
      </c>
      <c r="E78" s="2169"/>
      <c r="F78" s="886">
        <f t="shared" si="25"/>
        <v>0</v>
      </c>
      <c r="G78" s="887">
        <f t="shared" si="25"/>
        <v>0</v>
      </c>
      <c r="H78" s="887">
        <f t="shared" si="25"/>
        <v>0</v>
      </c>
      <c r="I78" s="887">
        <f t="shared" si="25"/>
        <v>0</v>
      </c>
      <c r="J78" s="887">
        <f t="shared" si="25"/>
        <v>0</v>
      </c>
      <c r="K78" s="888">
        <f t="shared" si="25"/>
        <v>0</v>
      </c>
      <c r="L78" s="2169"/>
      <c r="M78" s="886">
        <f t="shared" ref="M78:M83" si="28">L78+M53</f>
        <v>0</v>
      </c>
      <c r="N78" s="887">
        <f>M78+N53</f>
        <v>0</v>
      </c>
      <c r="O78" s="887">
        <f>N78+O53</f>
        <v>0</v>
      </c>
      <c r="P78" s="887">
        <f>O78+P53</f>
        <v>0</v>
      </c>
      <c r="Q78" s="887">
        <f>P78+Q53</f>
        <v>0</v>
      </c>
      <c r="R78" s="888">
        <f>Q78+R53</f>
        <v>0</v>
      </c>
      <c r="S78" s="2169"/>
      <c r="T78" s="886">
        <f t="shared" ref="T78:Y78" si="29">S78+T53</f>
        <v>0</v>
      </c>
      <c r="U78" s="887">
        <f t="shared" ref="U78:U83" si="30">T78+U53</f>
        <v>0</v>
      </c>
      <c r="V78" s="887">
        <f t="shared" si="29"/>
        <v>0</v>
      </c>
      <c r="W78" s="887">
        <f t="shared" si="29"/>
        <v>0</v>
      </c>
      <c r="X78" s="887">
        <f t="shared" si="29"/>
        <v>0</v>
      </c>
      <c r="Y78" s="888">
        <f t="shared" si="29"/>
        <v>0</v>
      </c>
      <c r="Z78" s="1592"/>
      <c r="AA78" s="1623"/>
    </row>
    <row r="79" spans="1:28">
      <c r="A79" s="1610">
        <v>12</v>
      </c>
      <c r="B79" s="1608">
        <v>212</v>
      </c>
      <c r="C79" s="1600">
        <v>0.2</v>
      </c>
      <c r="D79" s="1549" t="s">
        <v>277</v>
      </c>
      <c r="E79" s="2169">
        <v>219</v>
      </c>
      <c r="F79" s="886">
        <f t="shared" si="25"/>
        <v>241.8</v>
      </c>
      <c r="G79" s="887">
        <f t="shared" si="25"/>
        <v>264.60000000000002</v>
      </c>
      <c r="H79" s="887">
        <f t="shared" si="25"/>
        <v>290.24225880391748</v>
      </c>
      <c r="I79" s="887">
        <f t="shared" si="25"/>
        <v>304.13905317690541</v>
      </c>
      <c r="J79" s="887">
        <f t="shared" si="25"/>
        <v>310.26675724658617</v>
      </c>
      <c r="K79" s="888">
        <f t="shared" si="25"/>
        <v>315.50012871935945</v>
      </c>
      <c r="L79" s="2169">
        <v>43</v>
      </c>
      <c r="M79" s="886">
        <f t="shared" si="28"/>
        <v>47.2</v>
      </c>
      <c r="N79" s="887">
        <f t="shared" ref="N79:R83" si="31">M79+N54</f>
        <v>51.400000000000006</v>
      </c>
      <c r="O79" s="887">
        <f t="shared" si="31"/>
        <v>57.323900812669308</v>
      </c>
      <c r="P79" s="887">
        <f t="shared" si="31"/>
        <v>64.440548407304732</v>
      </c>
      <c r="Q79" s="887">
        <f t="shared" si="31"/>
        <v>68.489111986749762</v>
      </c>
      <c r="R79" s="888">
        <f t="shared" si="31"/>
        <v>71.539739675983157</v>
      </c>
      <c r="S79" s="2169">
        <v>2</v>
      </c>
      <c r="T79" s="886">
        <f>S79+T54</f>
        <v>2</v>
      </c>
      <c r="U79" s="887">
        <f t="shared" si="30"/>
        <v>2</v>
      </c>
      <c r="V79" s="887">
        <f t="shared" ref="V79:Y83" si="32">U79+V54</f>
        <v>2.433840383413211</v>
      </c>
      <c r="W79" s="887">
        <f t="shared" si="32"/>
        <v>3.420398415789891</v>
      </c>
      <c r="X79" s="887">
        <f t="shared" si="32"/>
        <v>4.2441307666640951</v>
      </c>
      <c r="Y79" s="888">
        <f t="shared" si="32"/>
        <v>4.9601316046574233</v>
      </c>
      <c r="Z79" s="1592"/>
      <c r="AA79" s="1623"/>
    </row>
    <row r="80" spans="1:28">
      <c r="A80" s="1610">
        <v>13</v>
      </c>
      <c r="B80" s="1607">
        <v>213</v>
      </c>
      <c r="C80" s="1611">
        <v>0.2</v>
      </c>
      <c r="D80" s="271" t="s">
        <v>278</v>
      </c>
      <c r="E80" s="2169"/>
      <c r="F80" s="886">
        <f t="shared" si="25"/>
        <v>0</v>
      </c>
      <c r="G80" s="887">
        <f t="shared" si="25"/>
        <v>0</v>
      </c>
      <c r="H80" s="887">
        <f t="shared" si="25"/>
        <v>0</v>
      </c>
      <c r="I80" s="887">
        <f t="shared" si="25"/>
        <v>0</v>
      </c>
      <c r="J80" s="887">
        <f t="shared" si="25"/>
        <v>0</v>
      </c>
      <c r="K80" s="888">
        <f t="shared" si="25"/>
        <v>0</v>
      </c>
      <c r="L80" s="2169"/>
      <c r="M80" s="886">
        <f t="shared" si="28"/>
        <v>0</v>
      </c>
      <c r="N80" s="887">
        <f t="shared" si="31"/>
        <v>0</v>
      </c>
      <c r="O80" s="887">
        <f t="shared" si="31"/>
        <v>0</v>
      </c>
      <c r="P80" s="887">
        <f t="shared" si="31"/>
        <v>0</v>
      </c>
      <c r="Q80" s="887">
        <f t="shared" si="31"/>
        <v>0</v>
      </c>
      <c r="R80" s="888">
        <f t="shared" si="31"/>
        <v>0</v>
      </c>
      <c r="S80" s="2169"/>
      <c r="T80" s="886">
        <f>S80+T55</f>
        <v>0</v>
      </c>
      <c r="U80" s="887">
        <f t="shared" si="30"/>
        <v>0</v>
      </c>
      <c r="V80" s="887">
        <f t="shared" si="32"/>
        <v>0</v>
      </c>
      <c r="W80" s="887">
        <f t="shared" si="32"/>
        <v>0</v>
      </c>
      <c r="X80" s="887">
        <f t="shared" si="32"/>
        <v>0</v>
      </c>
      <c r="Y80" s="888">
        <f t="shared" si="32"/>
        <v>0</v>
      </c>
      <c r="Z80" s="1592"/>
      <c r="AA80" s="1599"/>
      <c r="AB80" s="1562"/>
    </row>
    <row r="81" spans="1:28">
      <c r="A81" s="1610">
        <v>14</v>
      </c>
      <c r="B81" s="1612"/>
      <c r="C81" s="1612"/>
      <c r="D81" s="524" t="s">
        <v>844</v>
      </c>
      <c r="E81" s="2169"/>
      <c r="F81" s="886">
        <f t="shared" si="25"/>
        <v>0</v>
      </c>
      <c r="G81" s="887">
        <f t="shared" si="25"/>
        <v>0</v>
      </c>
      <c r="H81" s="887">
        <f t="shared" si="25"/>
        <v>0</v>
      </c>
      <c r="I81" s="887">
        <f t="shared" si="25"/>
        <v>0</v>
      </c>
      <c r="J81" s="887">
        <f t="shared" si="25"/>
        <v>0</v>
      </c>
      <c r="K81" s="888">
        <f t="shared" si="25"/>
        <v>0</v>
      </c>
      <c r="L81" s="2169"/>
      <c r="M81" s="886">
        <f t="shared" si="28"/>
        <v>0</v>
      </c>
      <c r="N81" s="887">
        <f t="shared" si="31"/>
        <v>0</v>
      </c>
      <c r="O81" s="887">
        <f t="shared" si="31"/>
        <v>0</v>
      </c>
      <c r="P81" s="887">
        <f t="shared" si="31"/>
        <v>0</v>
      </c>
      <c r="Q81" s="887">
        <f t="shared" si="31"/>
        <v>0</v>
      </c>
      <c r="R81" s="888">
        <f t="shared" si="31"/>
        <v>0</v>
      </c>
      <c r="S81" s="2169"/>
      <c r="T81" s="886">
        <f>S81+T56</f>
        <v>0</v>
      </c>
      <c r="U81" s="887">
        <f t="shared" si="30"/>
        <v>0</v>
      </c>
      <c r="V81" s="887">
        <f t="shared" si="32"/>
        <v>0</v>
      </c>
      <c r="W81" s="887">
        <f t="shared" si="32"/>
        <v>0</v>
      </c>
      <c r="X81" s="887">
        <f t="shared" si="32"/>
        <v>0</v>
      </c>
      <c r="Y81" s="888">
        <f t="shared" si="32"/>
        <v>0</v>
      </c>
      <c r="Z81" s="1592"/>
      <c r="AA81" s="1623"/>
    </row>
    <row r="82" spans="1:28">
      <c r="A82" s="1610">
        <v>15</v>
      </c>
      <c r="B82" s="1607">
        <v>207</v>
      </c>
      <c r="C82" s="1625" t="s">
        <v>380</v>
      </c>
      <c r="D82" s="271" t="s">
        <v>587</v>
      </c>
      <c r="E82" s="2169"/>
      <c r="F82" s="886">
        <f t="shared" si="25"/>
        <v>0</v>
      </c>
      <c r="G82" s="887">
        <f t="shared" si="25"/>
        <v>0</v>
      </c>
      <c r="H82" s="887">
        <f t="shared" si="25"/>
        <v>0</v>
      </c>
      <c r="I82" s="887">
        <f t="shared" si="25"/>
        <v>0</v>
      </c>
      <c r="J82" s="887">
        <f t="shared" si="25"/>
        <v>0</v>
      </c>
      <c r="K82" s="888">
        <f t="shared" si="25"/>
        <v>0</v>
      </c>
      <c r="L82" s="2169"/>
      <c r="M82" s="886">
        <f t="shared" si="28"/>
        <v>0</v>
      </c>
      <c r="N82" s="887">
        <f t="shared" si="31"/>
        <v>0</v>
      </c>
      <c r="O82" s="887">
        <f t="shared" si="31"/>
        <v>0</v>
      </c>
      <c r="P82" s="887">
        <f t="shared" si="31"/>
        <v>0</v>
      </c>
      <c r="Q82" s="887">
        <f t="shared" si="31"/>
        <v>0</v>
      </c>
      <c r="R82" s="888">
        <f t="shared" si="31"/>
        <v>0</v>
      </c>
      <c r="S82" s="2169"/>
      <c r="T82" s="886">
        <f>S82+T57</f>
        <v>0</v>
      </c>
      <c r="U82" s="887">
        <f t="shared" si="30"/>
        <v>0</v>
      </c>
      <c r="V82" s="887">
        <f t="shared" si="32"/>
        <v>0</v>
      </c>
      <c r="W82" s="887">
        <f t="shared" si="32"/>
        <v>0</v>
      </c>
      <c r="X82" s="887">
        <f t="shared" si="32"/>
        <v>0</v>
      </c>
      <c r="Y82" s="888">
        <f t="shared" si="32"/>
        <v>0</v>
      </c>
      <c r="Z82" s="1592"/>
      <c r="AA82" s="1623"/>
    </row>
    <row r="83" spans="1:28" ht="13.5" thickBot="1">
      <c r="A83" s="1610">
        <v>16</v>
      </c>
      <c r="B83" s="1613">
        <v>219</v>
      </c>
      <c r="C83" s="1628">
        <v>0.1</v>
      </c>
      <c r="D83" s="276" t="s">
        <v>279</v>
      </c>
      <c r="E83" s="2170">
        <v>203</v>
      </c>
      <c r="F83" s="886">
        <f t="shared" si="25"/>
        <v>233</v>
      </c>
      <c r="G83" s="887">
        <f t="shared" si="25"/>
        <v>263</v>
      </c>
      <c r="H83" s="887">
        <f t="shared" si="25"/>
        <v>293</v>
      </c>
      <c r="I83" s="887">
        <f t="shared" si="25"/>
        <v>304</v>
      </c>
      <c r="J83" s="887">
        <f t="shared" si="25"/>
        <v>304</v>
      </c>
      <c r="K83" s="888">
        <f t="shared" si="25"/>
        <v>304</v>
      </c>
      <c r="L83" s="2170"/>
      <c r="M83" s="886">
        <f t="shared" si="28"/>
        <v>0</v>
      </c>
      <c r="N83" s="887">
        <f t="shared" si="31"/>
        <v>0</v>
      </c>
      <c r="O83" s="887">
        <f t="shared" si="31"/>
        <v>0</v>
      </c>
      <c r="P83" s="887">
        <f t="shared" si="31"/>
        <v>0</v>
      </c>
      <c r="Q83" s="887">
        <f t="shared" si="31"/>
        <v>0</v>
      </c>
      <c r="R83" s="888">
        <f t="shared" si="31"/>
        <v>0</v>
      </c>
      <c r="S83" s="2170"/>
      <c r="T83" s="886">
        <f>S83+T58</f>
        <v>0</v>
      </c>
      <c r="U83" s="887">
        <f t="shared" si="30"/>
        <v>0</v>
      </c>
      <c r="V83" s="887">
        <f t="shared" si="32"/>
        <v>0</v>
      </c>
      <c r="W83" s="887">
        <f t="shared" si="32"/>
        <v>0</v>
      </c>
      <c r="X83" s="887">
        <f t="shared" si="32"/>
        <v>0</v>
      </c>
      <c r="Y83" s="888">
        <f t="shared" si="32"/>
        <v>0</v>
      </c>
      <c r="Z83" s="1592"/>
      <c r="AA83" s="1623"/>
    </row>
    <row r="84" spans="1:28" ht="13.5" thickBot="1">
      <c r="A84" s="1615" t="s">
        <v>284</v>
      </c>
      <c r="B84" s="1616"/>
      <c r="C84" s="1616"/>
      <c r="D84" s="1586" t="s">
        <v>285</v>
      </c>
      <c r="E84" s="648">
        <f>SUM(E85:E108)-E87-E93</f>
        <v>2927</v>
      </c>
      <c r="F84" s="241">
        <f t="shared" ref="F84:Y84" si="33">SUM(F85:F108)-F87-F93</f>
        <v>2703.9100000000003</v>
      </c>
      <c r="G84" s="242">
        <f t="shared" si="33"/>
        <v>2573.7888715864729</v>
      </c>
      <c r="H84" s="242">
        <f t="shared" si="33"/>
        <v>2671.0145549388503</v>
      </c>
      <c r="I84" s="242">
        <f t="shared" si="33"/>
        <v>2609.0358460652633</v>
      </c>
      <c r="J84" s="242">
        <f t="shared" si="33"/>
        <v>2718.5298401261125</v>
      </c>
      <c r="K84" s="243">
        <f t="shared" si="33"/>
        <v>2615.0894350532353</v>
      </c>
      <c r="L84" s="648">
        <f t="shared" si="33"/>
        <v>518</v>
      </c>
      <c r="M84" s="241">
        <f t="shared" si="33"/>
        <v>516.94999999999982</v>
      </c>
      <c r="N84" s="242">
        <f t="shared" si="33"/>
        <v>1177.5664823647371</v>
      </c>
      <c r="O84" s="242">
        <f t="shared" si="33"/>
        <v>1065.5467523800585</v>
      </c>
      <c r="P84" s="242">
        <f t="shared" si="33"/>
        <v>975.16374539719868</v>
      </c>
      <c r="Q84" s="242">
        <f t="shared" si="33"/>
        <v>1205.6404025135814</v>
      </c>
      <c r="R84" s="243">
        <f t="shared" si="33"/>
        <v>1201.8397771760488</v>
      </c>
      <c r="S84" s="648">
        <f t="shared" si="33"/>
        <v>36</v>
      </c>
      <c r="T84" s="241">
        <f t="shared" si="33"/>
        <v>55.38</v>
      </c>
      <c r="U84" s="242">
        <f t="shared" si="33"/>
        <v>68.084646048789793</v>
      </c>
      <c r="V84" s="242">
        <f t="shared" si="33"/>
        <v>216.88869268109084</v>
      </c>
      <c r="W84" s="242">
        <f t="shared" si="33"/>
        <v>240.36040853753752</v>
      </c>
      <c r="X84" s="242">
        <f t="shared" si="33"/>
        <v>252.61975736030567</v>
      </c>
      <c r="Y84" s="243">
        <f t="shared" si="33"/>
        <v>275.4607877707158</v>
      </c>
      <c r="Z84" s="1587"/>
      <c r="AA84" s="1629">
        <f>-(K84+R84+Y84+K170+R170+Y170+K257+R257+Y257)+((K9+R9+Y9+K110+R110+Y110+K191+R191+Y191)-(K59+R59+Y59+K150+R150+Y150+K235+R235+Y235))</f>
        <v>0</v>
      </c>
      <c r="AB84" s="1568"/>
    </row>
    <row r="85" spans="1:28">
      <c r="A85" s="1589">
        <v>1</v>
      </c>
      <c r="B85" s="1589">
        <v>20101</v>
      </c>
      <c r="C85" s="1611">
        <v>0</v>
      </c>
      <c r="D85" s="264" t="s">
        <v>758</v>
      </c>
      <c r="E85" s="1979">
        <f>E10-E60</f>
        <v>323</v>
      </c>
      <c r="F85" s="1978">
        <f t="shared" ref="F85:L86" si="34">F10-F60</f>
        <v>323</v>
      </c>
      <c r="G85" s="884">
        <f t="shared" si="34"/>
        <v>323</v>
      </c>
      <c r="H85" s="884">
        <f t="shared" si="34"/>
        <v>323</v>
      </c>
      <c r="I85" s="884">
        <f t="shared" si="34"/>
        <v>323</v>
      </c>
      <c r="J85" s="884">
        <f t="shared" si="34"/>
        <v>323</v>
      </c>
      <c r="K85" s="1983">
        <f t="shared" si="34"/>
        <v>323</v>
      </c>
      <c r="L85" s="1979">
        <f t="shared" si="34"/>
        <v>63</v>
      </c>
      <c r="M85" s="1978">
        <f t="shared" ref="M85:S86" si="35">M10-M60</f>
        <v>63</v>
      </c>
      <c r="N85" s="884">
        <f t="shared" si="35"/>
        <v>63</v>
      </c>
      <c r="O85" s="884">
        <f t="shared" si="35"/>
        <v>63</v>
      </c>
      <c r="P85" s="884">
        <f t="shared" si="35"/>
        <v>63</v>
      </c>
      <c r="Q85" s="884">
        <f t="shared" si="35"/>
        <v>63</v>
      </c>
      <c r="R85" s="1983">
        <f t="shared" si="35"/>
        <v>63</v>
      </c>
      <c r="S85" s="1979">
        <f t="shared" si="35"/>
        <v>3</v>
      </c>
      <c r="T85" s="883">
        <f t="shared" ref="T85:Y86" si="36">T10-T60</f>
        <v>3</v>
      </c>
      <c r="U85" s="884">
        <f t="shared" si="36"/>
        <v>3</v>
      </c>
      <c r="V85" s="884">
        <f t="shared" si="36"/>
        <v>3</v>
      </c>
      <c r="W85" s="884">
        <f t="shared" si="36"/>
        <v>3</v>
      </c>
      <c r="X85" s="884">
        <f t="shared" si="36"/>
        <v>3</v>
      </c>
      <c r="Y85" s="885">
        <f t="shared" si="36"/>
        <v>3</v>
      </c>
      <c r="Z85" s="1592"/>
      <c r="AA85" s="1593"/>
      <c r="AB85" s="1562"/>
    </row>
    <row r="86" spans="1:28">
      <c r="A86" s="1594">
        <v>2</v>
      </c>
      <c r="B86" s="1594">
        <v>20201</v>
      </c>
      <c r="C86" s="1627">
        <v>0.03</v>
      </c>
      <c r="D86" s="267" t="s">
        <v>597</v>
      </c>
      <c r="E86" s="1980">
        <f>E11-E61</f>
        <v>483</v>
      </c>
      <c r="F86" s="933">
        <f t="shared" si="34"/>
        <v>457.15999999999997</v>
      </c>
      <c r="G86" s="887">
        <f t="shared" si="34"/>
        <v>511.59045748656467</v>
      </c>
      <c r="H86" s="887">
        <f t="shared" si="34"/>
        <v>731.1448071280463</v>
      </c>
      <c r="I86" s="887">
        <f t="shared" si="34"/>
        <v>732.97133867954039</v>
      </c>
      <c r="J86" s="887">
        <f t="shared" si="34"/>
        <v>743.28205510638168</v>
      </c>
      <c r="K86" s="986">
        <f t="shared" si="34"/>
        <v>772.17740003056849</v>
      </c>
      <c r="L86" s="1980">
        <f t="shared" si="34"/>
        <v>97</v>
      </c>
      <c r="M86" s="933">
        <f t="shared" si="35"/>
        <v>91.97</v>
      </c>
      <c r="N86" s="887">
        <f t="shared" si="35"/>
        <v>128.01250661369147</v>
      </c>
      <c r="O86" s="887">
        <f t="shared" si="35"/>
        <v>144.28255896191894</v>
      </c>
      <c r="P86" s="887">
        <f t="shared" si="35"/>
        <v>146.92745471306142</v>
      </c>
      <c r="Q86" s="887">
        <f t="shared" si="35"/>
        <v>159.95275282428875</v>
      </c>
      <c r="R86" s="986">
        <f t="shared" si="35"/>
        <v>180.85366520023047</v>
      </c>
      <c r="S86" s="1980">
        <f t="shared" si="35"/>
        <v>5</v>
      </c>
      <c r="T86" s="886">
        <f t="shared" si="36"/>
        <v>4.7799999999999994</v>
      </c>
      <c r="U86" s="887">
        <f t="shared" si="36"/>
        <v>7.3270358997438079</v>
      </c>
      <c r="V86" s="887">
        <f t="shared" si="36"/>
        <v>41.982633910034579</v>
      </c>
      <c r="W86" s="887">
        <f t="shared" si="36"/>
        <v>42.591206607397979</v>
      </c>
      <c r="X86" s="887">
        <f t="shared" si="36"/>
        <v>42.535192069329398</v>
      </c>
      <c r="Y86" s="888">
        <f t="shared" si="36"/>
        <v>43.468934769200942</v>
      </c>
      <c r="Z86" s="1592"/>
      <c r="AA86" s="1630"/>
    </row>
    <row r="87" spans="1:28" ht="25.5" customHeight="1">
      <c r="A87" s="1594">
        <v>3</v>
      </c>
      <c r="B87" s="1595">
        <v>203</v>
      </c>
      <c r="C87" s="1600"/>
      <c r="D87" s="1544" t="s">
        <v>577</v>
      </c>
      <c r="E87" s="1981">
        <f>SUM(E88:E91)</f>
        <v>607</v>
      </c>
      <c r="F87" s="1631">
        <f t="shared" ref="F87:Y87" si="37">SUM(F88:F91)</f>
        <v>594.45000000000005</v>
      </c>
      <c r="G87" s="1632">
        <f t="shared" si="37"/>
        <v>515.75000000000011</v>
      </c>
      <c r="H87" s="1632">
        <f t="shared" si="37"/>
        <v>456.05000000000018</v>
      </c>
      <c r="I87" s="1632">
        <f t="shared" si="37"/>
        <v>466.55000000000024</v>
      </c>
      <c r="J87" s="1632">
        <f t="shared" si="37"/>
        <v>679.30000000000018</v>
      </c>
      <c r="K87" s="1984">
        <f t="shared" si="37"/>
        <v>667.35000000000014</v>
      </c>
      <c r="L87" s="1981">
        <f>SUM(L88:L91)</f>
        <v>53</v>
      </c>
      <c r="M87" s="1631">
        <f t="shared" si="37"/>
        <v>105.5</v>
      </c>
      <c r="N87" s="1632">
        <f t="shared" si="37"/>
        <v>738.3</v>
      </c>
      <c r="O87" s="1632">
        <f t="shared" si="37"/>
        <v>654.79999999999995</v>
      </c>
      <c r="P87" s="1632">
        <f t="shared" si="37"/>
        <v>576.1</v>
      </c>
      <c r="Q87" s="1632">
        <f t="shared" si="37"/>
        <v>707.89999999999986</v>
      </c>
      <c r="R87" s="1984">
        <f t="shared" si="37"/>
        <v>711.65</v>
      </c>
      <c r="S87" s="1981">
        <f t="shared" si="37"/>
        <v>15</v>
      </c>
      <c r="T87" s="958">
        <f t="shared" si="37"/>
        <v>35.6</v>
      </c>
      <c r="U87" s="959">
        <f t="shared" si="37"/>
        <v>44.3</v>
      </c>
      <c r="V87" s="959">
        <f t="shared" si="37"/>
        <v>76.3</v>
      </c>
      <c r="W87" s="959">
        <f t="shared" si="37"/>
        <v>109.05</v>
      </c>
      <c r="X87" s="959">
        <f t="shared" si="37"/>
        <v>133.05000000000001</v>
      </c>
      <c r="Y87" s="962">
        <f t="shared" si="37"/>
        <v>166.4</v>
      </c>
      <c r="Z87" s="1592"/>
      <c r="AA87" s="1623"/>
    </row>
    <row r="88" spans="1:28">
      <c r="A88" s="1594"/>
      <c r="B88" s="1595">
        <v>20301</v>
      </c>
      <c r="C88" s="1600">
        <v>0.1</v>
      </c>
      <c r="D88" s="1545" t="s">
        <v>599</v>
      </c>
      <c r="E88" s="1980">
        <f>E13-E63</f>
        <v>36</v>
      </c>
      <c r="F88" s="933">
        <f t="shared" ref="F88:L92" si="38">F13-F63</f>
        <v>29.800000000000011</v>
      </c>
      <c r="G88" s="887">
        <f t="shared" si="38"/>
        <v>23.600000000000023</v>
      </c>
      <c r="H88" s="887">
        <f t="shared" si="38"/>
        <v>17.400000000000034</v>
      </c>
      <c r="I88" s="887">
        <f t="shared" si="38"/>
        <v>11.200000000000045</v>
      </c>
      <c r="J88" s="887">
        <f t="shared" si="38"/>
        <v>5.0000000000000568</v>
      </c>
      <c r="K88" s="986">
        <f t="shared" si="38"/>
        <v>-0.19999999999993179</v>
      </c>
      <c r="L88" s="1980">
        <f t="shared" si="38"/>
        <v>7</v>
      </c>
      <c r="M88" s="933">
        <f t="shared" ref="M88:S92" si="39">M13-M63</f>
        <v>5.8999999999999986</v>
      </c>
      <c r="N88" s="887">
        <f t="shared" si="39"/>
        <v>4.7999999999999972</v>
      </c>
      <c r="O88" s="887">
        <f t="shared" si="39"/>
        <v>3.6999999999999957</v>
      </c>
      <c r="P88" s="887">
        <f t="shared" si="39"/>
        <v>2.5999999999999943</v>
      </c>
      <c r="Q88" s="887">
        <f t="shared" si="39"/>
        <v>1.4999999999999929</v>
      </c>
      <c r="R88" s="986">
        <f t="shared" si="39"/>
        <v>0.39999999999999147</v>
      </c>
      <c r="S88" s="1980">
        <f t="shared" si="39"/>
        <v>5</v>
      </c>
      <c r="T88" s="886">
        <f t="shared" ref="T88:Y92" si="40">T13-T63</f>
        <v>4</v>
      </c>
      <c r="U88" s="887">
        <f t="shared" si="40"/>
        <v>3</v>
      </c>
      <c r="V88" s="887">
        <f t="shared" si="40"/>
        <v>2</v>
      </c>
      <c r="W88" s="887">
        <f t="shared" si="40"/>
        <v>1</v>
      </c>
      <c r="X88" s="887">
        <f t="shared" si="40"/>
        <v>0</v>
      </c>
      <c r="Y88" s="888">
        <f t="shared" si="40"/>
        <v>0</v>
      </c>
      <c r="Z88" s="1592"/>
      <c r="AA88" s="1623"/>
    </row>
    <row r="89" spans="1:28">
      <c r="A89" s="1594"/>
      <c r="B89" s="1595">
        <v>20302</v>
      </c>
      <c r="C89" s="1600">
        <v>0.1</v>
      </c>
      <c r="D89" s="1545" t="s">
        <v>600</v>
      </c>
      <c r="E89" s="1980">
        <f>E14-E64</f>
        <v>83</v>
      </c>
      <c r="F89" s="933">
        <f t="shared" si="38"/>
        <v>71</v>
      </c>
      <c r="G89" s="887">
        <f t="shared" si="38"/>
        <v>59</v>
      </c>
      <c r="H89" s="887">
        <f t="shared" si="38"/>
        <v>66</v>
      </c>
      <c r="I89" s="887">
        <f t="shared" si="38"/>
        <v>62.449999999999989</v>
      </c>
      <c r="J89" s="887">
        <f t="shared" si="38"/>
        <v>63.5</v>
      </c>
      <c r="K89" s="986">
        <f t="shared" si="38"/>
        <v>79.949999999999989</v>
      </c>
      <c r="L89" s="1980">
        <f t="shared" si="38"/>
        <v>11</v>
      </c>
      <c r="M89" s="933">
        <f t="shared" si="39"/>
        <v>6</v>
      </c>
      <c r="N89" s="887">
        <f t="shared" si="39"/>
        <v>1</v>
      </c>
      <c r="O89" s="887">
        <f t="shared" si="39"/>
        <v>0</v>
      </c>
      <c r="P89" s="887">
        <f t="shared" si="39"/>
        <v>0</v>
      </c>
      <c r="Q89" s="887">
        <f t="shared" si="39"/>
        <v>0</v>
      </c>
      <c r="R89" s="986">
        <f t="shared" si="39"/>
        <v>0</v>
      </c>
      <c r="S89" s="1980">
        <f t="shared" si="39"/>
        <v>10</v>
      </c>
      <c r="T89" s="886">
        <f t="shared" si="40"/>
        <v>9</v>
      </c>
      <c r="U89" s="887">
        <f t="shared" si="40"/>
        <v>8</v>
      </c>
      <c r="V89" s="887">
        <f t="shared" si="40"/>
        <v>7</v>
      </c>
      <c r="W89" s="887">
        <f t="shared" si="40"/>
        <v>15.5</v>
      </c>
      <c r="X89" s="887">
        <f t="shared" si="40"/>
        <v>18.25</v>
      </c>
      <c r="Y89" s="888">
        <f t="shared" si="40"/>
        <v>32.85</v>
      </c>
      <c r="Z89" s="1592"/>
      <c r="AA89" s="1623"/>
    </row>
    <row r="90" spans="1:28">
      <c r="A90" s="1594"/>
      <c r="B90" s="1595">
        <v>20303</v>
      </c>
      <c r="C90" s="1600">
        <v>0.1</v>
      </c>
      <c r="D90" s="1545" t="s">
        <v>578</v>
      </c>
      <c r="E90" s="1980">
        <f>E15-E65</f>
        <v>390</v>
      </c>
      <c r="F90" s="933">
        <f t="shared" si="38"/>
        <v>347.20000000000005</v>
      </c>
      <c r="G90" s="887">
        <f t="shared" si="38"/>
        <v>304.40000000000009</v>
      </c>
      <c r="H90" s="887">
        <f t="shared" si="38"/>
        <v>261.60000000000014</v>
      </c>
      <c r="I90" s="887">
        <f t="shared" si="38"/>
        <v>261.55000000000018</v>
      </c>
      <c r="J90" s="887">
        <f t="shared" si="38"/>
        <v>467.90000000000009</v>
      </c>
      <c r="K90" s="986">
        <f t="shared" si="38"/>
        <v>436.65000000000009</v>
      </c>
      <c r="L90" s="1980">
        <f t="shared" si="38"/>
        <v>7</v>
      </c>
      <c r="M90" s="933">
        <f t="shared" si="39"/>
        <v>15.449999999999989</v>
      </c>
      <c r="N90" s="887">
        <f t="shared" si="39"/>
        <v>664.05</v>
      </c>
      <c r="O90" s="887">
        <f t="shared" si="39"/>
        <v>592.34999999999991</v>
      </c>
      <c r="P90" s="887">
        <f t="shared" si="39"/>
        <v>520.65</v>
      </c>
      <c r="Q90" s="887">
        <f t="shared" si="39"/>
        <v>659.84999999999991</v>
      </c>
      <c r="R90" s="986">
        <f t="shared" si="39"/>
        <v>671.4</v>
      </c>
      <c r="S90" s="1980">
        <f t="shared" si="39"/>
        <v>0</v>
      </c>
      <c r="T90" s="886">
        <f t="shared" si="40"/>
        <v>7.5</v>
      </c>
      <c r="U90" s="887">
        <f t="shared" si="40"/>
        <v>6.6</v>
      </c>
      <c r="V90" s="887">
        <f t="shared" si="40"/>
        <v>5.6999999999999993</v>
      </c>
      <c r="W90" s="887">
        <f t="shared" si="40"/>
        <v>4.7999999999999989</v>
      </c>
      <c r="X90" s="3012">
        <f t="shared" si="40"/>
        <v>4.3999999999999986</v>
      </c>
      <c r="Y90" s="3013">
        <f t="shared" si="40"/>
        <v>3.9999999999999982</v>
      </c>
      <c r="Z90" s="1592"/>
      <c r="AA90" s="1623"/>
    </row>
    <row r="91" spans="1:28">
      <c r="A91" s="1594"/>
      <c r="B91" s="1595">
        <v>20306</v>
      </c>
      <c r="C91" s="1600">
        <v>0.1</v>
      </c>
      <c r="D91" s="1545" t="s">
        <v>581</v>
      </c>
      <c r="E91" s="1980">
        <f>E16-E66</f>
        <v>98</v>
      </c>
      <c r="F91" s="933">
        <f t="shared" si="38"/>
        <v>146.44999999999999</v>
      </c>
      <c r="G91" s="887">
        <f t="shared" si="38"/>
        <v>128.75</v>
      </c>
      <c r="H91" s="887">
        <f t="shared" si="38"/>
        <v>111.05000000000001</v>
      </c>
      <c r="I91" s="887">
        <f t="shared" si="38"/>
        <v>131.35000000000002</v>
      </c>
      <c r="J91" s="887">
        <f t="shared" si="38"/>
        <v>142.90000000000003</v>
      </c>
      <c r="K91" s="986">
        <f t="shared" si="38"/>
        <v>150.95000000000005</v>
      </c>
      <c r="L91" s="1980">
        <f t="shared" si="38"/>
        <v>28</v>
      </c>
      <c r="M91" s="933">
        <f t="shared" si="39"/>
        <v>78.150000000000006</v>
      </c>
      <c r="N91" s="887">
        <f t="shared" si="39"/>
        <v>68.45</v>
      </c>
      <c r="O91" s="887">
        <f t="shared" si="39"/>
        <v>58.75</v>
      </c>
      <c r="P91" s="887">
        <f t="shared" si="39"/>
        <v>52.85</v>
      </c>
      <c r="Q91" s="887">
        <f t="shared" si="39"/>
        <v>46.55</v>
      </c>
      <c r="R91" s="986">
        <f t="shared" si="39"/>
        <v>39.849999999999994</v>
      </c>
      <c r="S91" s="1980">
        <f t="shared" si="39"/>
        <v>0</v>
      </c>
      <c r="T91" s="886">
        <f t="shared" si="40"/>
        <v>15.1</v>
      </c>
      <c r="U91" s="887">
        <f t="shared" si="40"/>
        <v>26.7</v>
      </c>
      <c r="V91" s="887">
        <f t="shared" si="40"/>
        <v>61.6</v>
      </c>
      <c r="W91" s="887">
        <f t="shared" si="40"/>
        <v>87.75</v>
      </c>
      <c r="X91" s="887">
        <f t="shared" si="40"/>
        <v>110.4</v>
      </c>
      <c r="Y91" s="888">
        <f t="shared" si="40"/>
        <v>129.55000000000001</v>
      </c>
      <c r="Z91" s="1592"/>
      <c r="AA91" s="1623"/>
    </row>
    <row r="92" spans="1:28">
      <c r="A92" s="1594">
        <v>4</v>
      </c>
      <c r="B92" s="1595">
        <v>20403</v>
      </c>
      <c r="C92" s="1600">
        <v>0.04</v>
      </c>
      <c r="D92" s="1546" t="s">
        <v>606</v>
      </c>
      <c r="E92" s="1980">
        <f>E17-E67</f>
        <v>0</v>
      </c>
      <c r="F92" s="933">
        <f t="shared" si="38"/>
        <v>0</v>
      </c>
      <c r="G92" s="887">
        <f t="shared" si="38"/>
        <v>0</v>
      </c>
      <c r="H92" s="887">
        <f t="shared" si="38"/>
        <v>0</v>
      </c>
      <c r="I92" s="887">
        <f t="shared" si="38"/>
        <v>0</v>
      </c>
      <c r="J92" s="887">
        <f t="shared" si="38"/>
        <v>0</v>
      </c>
      <c r="K92" s="986">
        <f t="shared" si="38"/>
        <v>0</v>
      </c>
      <c r="L92" s="1980">
        <f t="shared" si="38"/>
        <v>0</v>
      </c>
      <c r="M92" s="933">
        <f t="shared" si="39"/>
        <v>0</v>
      </c>
      <c r="N92" s="887">
        <f t="shared" si="39"/>
        <v>0</v>
      </c>
      <c r="O92" s="887">
        <f t="shared" si="39"/>
        <v>0</v>
      </c>
      <c r="P92" s="887">
        <f t="shared" si="39"/>
        <v>0</v>
      </c>
      <c r="Q92" s="887">
        <f t="shared" si="39"/>
        <v>0</v>
      </c>
      <c r="R92" s="986">
        <f t="shared" si="39"/>
        <v>0</v>
      </c>
      <c r="S92" s="1980">
        <f t="shared" si="39"/>
        <v>0</v>
      </c>
      <c r="T92" s="886">
        <f t="shared" si="40"/>
        <v>0</v>
      </c>
      <c r="U92" s="887">
        <f t="shared" si="40"/>
        <v>0</v>
      </c>
      <c r="V92" s="887">
        <f t="shared" si="40"/>
        <v>0</v>
      </c>
      <c r="W92" s="887">
        <f t="shared" si="40"/>
        <v>0</v>
      </c>
      <c r="X92" s="887">
        <f t="shared" si="40"/>
        <v>0</v>
      </c>
      <c r="Y92" s="888">
        <f t="shared" si="40"/>
        <v>0</v>
      </c>
      <c r="Z92" s="1592"/>
      <c r="AA92" s="1623"/>
    </row>
    <row r="93" spans="1:28">
      <c r="A93" s="1594">
        <v>5</v>
      </c>
      <c r="B93" s="1595">
        <v>205</v>
      </c>
      <c r="C93" s="1600"/>
      <c r="D93" s="1544" t="s">
        <v>275</v>
      </c>
      <c r="E93" s="1598">
        <f t="shared" ref="E93:Y93" si="41">SUM(E94:E97)</f>
        <v>887</v>
      </c>
      <c r="F93" s="963">
        <f t="shared" si="41"/>
        <v>767.59999999999991</v>
      </c>
      <c r="G93" s="959">
        <f t="shared" si="41"/>
        <v>688.24021028510936</v>
      </c>
      <c r="H93" s="959">
        <f t="shared" si="41"/>
        <v>600.18363773089868</v>
      </c>
      <c r="I93" s="959">
        <f t="shared" si="41"/>
        <v>531.07716392061207</v>
      </c>
      <c r="J93" s="959">
        <f t="shared" si="41"/>
        <v>427.21668944396311</v>
      </c>
      <c r="K93" s="960">
        <f t="shared" si="41"/>
        <v>320.23998082391239</v>
      </c>
      <c r="L93" s="1598">
        <f t="shared" si="41"/>
        <v>277</v>
      </c>
      <c r="M93" s="963">
        <f t="shared" si="41"/>
        <v>234.78000000000003</v>
      </c>
      <c r="N93" s="959">
        <f t="shared" si="41"/>
        <v>213.02178456107805</v>
      </c>
      <c r="O93" s="959">
        <f t="shared" si="41"/>
        <v>171.29881204318889</v>
      </c>
      <c r="P93" s="959">
        <f t="shared" si="41"/>
        <v>154.37049968908994</v>
      </c>
      <c r="Q93" s="959">
        <f t="shared" si="41"/>
        <v>227.9370797517004</v>
      </c>
      <c r="R93" s="960">
        <f t="shared" si="41"/>
        <v>187.82138929354369</v>
      </c>
      <c r="S93" s="1598">
        <f t="shared" si="41"/>
        <v>6</v>
      </c>
      <c r="T93" s="958">
        <f t="shared" si="41"/>
        <v>6</v>
      </c>
      <c r="U93" s="959">
        <f t="shared" si="41"/>
        <v>7.2480051538124144</v>
      </c>
      <c r="V93" s="959">
        <f t="shared" si="41"/>
        <v>78.157550225912345</v>
      </c>
      <c r="W93" s="959">
        <f t="shared" si="41"/>
        <v>70.072336390298005</v>
      </c>
      <c r="X93" s="959">
        <f t="shared" si="41"/>
        <v>62.166230804336372</v>
      </c>
      <c r="Y93" s="962">
        <f t="shared" si="41"/>
        <v>54.37862988254372</v>
      </c>
      <c r="Z93" s="1592"/>
      <c r="AA93" s="1623"/>
    </row>
    <row r="94" spans="1:28">
      <c r="A94" s="1607"/>
      <c r="B94" s="1608">
        <v>20501</v>
      </c>
      <c r="C94" s="1600">
        <v>0.08</v>
      </c>
      <c r="D94" s="1547" t="s">
        <v>582</v>
      </c>
      <c r="E94" s="1980">
        <f t="shared" ref="E94:E108" si="42">E19-E69</f>
        <v>403</v>
      </c>
      <c r="F94" s="933">
        <f t="shared" ref="F94:L96" si="43">F19-F69</f>
        <v>346.79999999999995</v>
      </c>
      <c r="G94" s="887">
        <f t="shared" si="43"/>
        <v>290.59999999999991</v>
      </c>
      <c r="H94" s="887">
        <f t="shared" si="43"/>
        <v>234.39999999999986</v>
      </c>
      <c r="I94" s="887">
        <f t="shared" si="43"/>
        <v>178.19999999999982</v>
      </c>
      <c r="J94" s="887">
        <f t="shared" si="43"/>
        <v>121.99999999999977</v>
      </c>
      <c r="K94" s="986">
        <f t="shared" si="43"/>
        <v>65.799999999999727</v>
      </c>
      <c r="L94" s="1980">
        <f t="shared" si="43"/>
        <v>159</v>
      </c>
      <c r="M94" s="933">
        <f t="shared" ref="M94:S96" si="44">M19-M69</f>
        <v>129.48000000000002</v>
      </c>
      <c r="N94" s="887">
        <f t="shared" si="44"/>
        <v>99.960000000000036</v>
      </c>
      <c r="O94" s="887">
        <f t="shared" si="44"/>
        <v>70.440000000000055</v>
      </c>
      <c r="P94" s="887">
        <f t="shared" si="44"/>
        <v>40.920000000000073</v>
      </c>
      <c r="Q94" s="887">
        <f t="shared" si="44"/>
        <v>133.32000000000005</v>
      </c>
      <c r="R94" s="986">
        <f t="shared" si="44"/>
        <v>112.04000000000008</v>
      </c>
      <c r="S94" s="1980">
        <f t="shared" si="44"/>
        <v>3</v>
      </c>
      <c r="T94" s="886">
        <f t="shared" ref="T94:Y98" si="45">T19-T69</f>
        <v>3</v>
      </c>
      <c r="U94" s="887">
        <f t="shared" si="45"/>
        <v>3</v>
      </c>
      <c r="V94" s="887">
        <f t="shared" si="45"/>
        <v>3</v>
      </c>
      <c r="W94" s="887">
        <f t="shared" si="45"/>
        <v>3</v>
      </c>
      <c r="X94" s="887">
        <f t="shared" si="45"/>
        <v>3</v>
      </c>
      <c r="Y94" s="888">
        <f t="shared" si="45"/>
        <v>3</v>
      </c>
      <c r="Z94" s="1592"/>
      <c r="AA94" s="1623"/>
    </row>
    <row r="95" spans="1:28">
      <c r="A95" s="1607"/>
      <c r="B95" s="1608">
        <v>20502</v>
      </c>
      <c r="C95" s="1600">
        <v>0.1</v>
      </c>
      <c r="D95" s="1547" t="s">
        <v>583</v>
      </c>
      <c r="E95" s="1980">
        <f t="shared" si="42"/>
        <v>484</v>
      </c>
      <c r="F95" s="933">
        <f t="shared" si="43"/>
        <v>420.79999999999995</v>
      </c>
      <c r="G95" s="887">
        <f t="shared" si="43"/>
        <v>357.59999999999991</v>
      </c>
      <c r="H95" s="887">
        <f t="shared" si="43"/>
        <v>329.43836389088199</v>
      </c>
      <c r="I95" s="887">
        <f t="shared" si="43"/>
        <v>320.49480642303752</v>
      </c>
      <c r="J95" s="887">
        <f t="shared" si="43"/>
        <v>276.94733959168116</v>
      </c>
      <c r="K95" s="986">
        <f t="shared" si="43"/>
        <v>230.35232242893312</v>
      </c>
      <c r="L95" s="1980">
        <f t="shared" si="43"/>
        <v>110</v>
      </c>
      <c r="M95" s="933">
        <f t="shared" si="44"/>
        <v>98.3</v>
      </c>
      <c r="N95" s="887">
        <f t="shared" si="44"/>
        <v>86.6</v>
      </c>
      <c r="O95" s="887">
        <f t="shared" si="44"/>
        <v>77.63809853858092</v>
      </c>
      <c r="P95" s="887">
        <f t="shared" si="44"/>
        <v>93.125607120994985</v>
      </c>
      <c r="Q95" s="887">
        <f t="shared" si="44"/>
        <v>77.143753510244721</v>
      </c>
      <c r="R95" s="986">
        <f t="shared" si="44"/>
        <v>61.160971050089699</v>
      </c>
      <c r="S95" s="1980">
        <f t="shared" si="44"/>
        <v>3</v>
      </c>
      <c r="T95" s="886">
        <f t="shared" si="45"/>
        <v>3</v>
      </c>
      <c r="U95" s="887">
        <f t="shared" si="45"/>
        <v>3</v>
      </c>
      <c r="V95" s="887">
        <f t="shared" si="45"/>
        <v>64.973537570537104</v>
      </c>
      <c r="W95" s="887">
        <f t="shared" si="45"/>
        <v>58.529586455967603</v>
      </c>
      <c r="X95" s="887">
        <f t="shared" si="45"/>
        <v>52.158906898074207</v>
      </c>
      <c r="Y95" s="888">
        <f t="shared" si="45"/>
        <v>45.836706520977216</v>
      </c>
      <c r="Z95" s="1592"/>
      <c r="AA95" s="1623"/>
    </row>
    <row r="96" spans="1:28">
      <c r="A96" s="1607"/>
      <c r="B96" s="1608">
        <v>20503</v>
      </c>
      <c r="C96" s="1600">
        <v>0.1</v>
      </c>
      <c r="D96" s="1545" t="s">
        <v>584</v>
      </c>
      <c r="E96" s="1980">
        <f t="shared" si="42"/>
        <v>0</v>
      </c>
      <c r="F96" s="933">
        <f t="shared" si="43"/>
        <v>0</v>
      </c>
      <c r="G96" s="887">
        <f t="shared" si="43"/>
        <v>40.040210285109538</v>
      </c>
      <c r="H96" s="887">
        <f t="shared" si="43"/>
        <v>36.34527384001683</v>
      </c>
      <c r="I96" s="887">
        <f t="shared" si="43"/>
        <v>32.382357497574674</v>
      </c>
      <c r="J96" s="887">
        <f t="shared" si="43"/>
        <v>28.269349852282176</v>
      </c>
      <c r="K96" s="986">
        <f t="shared" si="43"/>
        <v>24.087658394979542</v>
      </c>
      <c r="L96" s="1980">
        <f t="shared" si="43"/>
        <v>8</v>
      </c>
      <c r="M96" s="933">
        <f t="shared" si="44"/>
        <v>7</v>
      </c>
      <c r="N96" s="887">
        <f t="shared" si="44"/>
        <v>26.461784561078009</v>
      </c>
      <c r="O96" s="887">
        <f t="shared" si="44"/>
        <v>23.220713504607911</v>
      </c>
      <c r="P96" s="887">
        <f t="shared" si="44"/>
        <v>20.324892568094889</v>
      </c>
      <c r="Q96" s="887">
        <f t="shared" si="44"/>
        <v>17.473326241455624</v>
      </c>
      <c r="R96" s="986">
        <f t="shared" si="44"/>
        <v>14.620418243453912</v>
      </c>
      <c r="S96" s="1980">
        <f t="shared" si="44"/>
        <v>0</v>
      </c>
      <c r="T96" s="886">
        <f t="shared" si="45"/>
        <v>0</v>
      </c>
      <c r="U96" s="887">
        <f t="shared" si="45"/>
        <v>1.2480051538124144</v>
      </c>
      <c r="V96" s="887">
        <f t="shared" si="45"/>
        <v>10.184012655375241</v>
      </c>
      <c r="W96" s="887">
        <f t="shared" si="45"/>
        <v>8.5427499343303985</v>
      </c>
      <c r="X96" s="887">
        <f t="shared" si="45"/>
        <v>7.0073239062621653</v>
      </c>
      <c r="Y96" s="888">
        <f t="shared" si="45"/>
        <v>5.5419233615665018</v>
      </c>
      <c r="Z96" s="1592"/>
      <c r="AA96" s="1623"/>
    </row>
    <row r="97" spans="1:28">
      <c r="A97" s="1607"/>
      <c r="B97" s="1608">
        <v>20504</v>
      </c>
      <c r="C97" s="1600">
        <v>0.1</v>
      </c>
      <c r="D97" s="1545" t="s">
        <v>759</v>
      </c>
      <c r="E97" s="1980">
        <f t="shared" si="42"/>
        <v>0</v>
      </c>
      <c r="F97" s="933">
        <f t="shared" ref="F97:L97" si="46">F22-F72</f>
        <v>0</v>
      </c>
      <c r="G97" s="887">
        <f t="shared" si="46"/>
        <v>0</v>
      </c>
      <c r="H97" s="887">
        <f t="shared" si="46"/>
        <v>0</v>
      </c>
      <c r="I97" s="887">
        <f t="shared" si="46"/>
        <v>0</v>
      </c>
      <c r="J97" s="887">
        <f t="shared" si="46"/>
        <v>0</v>
      </c>
      <c r="K97" s="986">
        <f t="shared" si="46"/>
        <v>0</v>
      </c>
      <c r="L97" s="1980">
        <f t="shared" si="46"/>
        <v>0</v>
      </c>
      <c r="M97" s="933">
        <f t="shared" ref="M97:S97" si="47">M22-M72</f>
        <v>0</v>
      </c>
      <c r="N97" s="887">
        <f t="shared" si="47"/>
        <v>0</v>
      </c>
      <c r="O97" s="887">
        <f t="shared" si="47"/>
        <v>0</v>
      </c>
      <c r="P97" s="887">
        <f t="shared" si="47"/>
        <v>0</v>
      </c>
      <c r="Q97" s="887">
        <f t="shared" si="47"/>
        <v>0</v>
      </c>
      <c r="R97" s="986">
        <f t="shared" si="47"/>
        <v>0</v>
      </c>
      <c r="S97" s="1980">
        <f t="shared" si="47"/>
        <v>0</v>
      </c>
      <c r="T97" s="886">
        <f t="shared" si="45"/>
        <v>0</v>
      </c>
      <c r="U97" s="887">
        <f t="shared" si="45"/>
        <v>0</v>
      </c>
      <c r="V97" s="887">
        <f t="shared" si="45"/>
        <v>0</v>
      </c>
      <c r="W97" s="887">
        <f t="shared" si="45"/>
        <v>0</v>
      </c>
      <c r="X97" s="887">
        <f t="shared" si="45"/>
        <v>0</v>
      </c>
      <c r="Y97" s="888">
        <f t="shared" si="45"/>
        <v>0</v>
      </c>
      <c r="Z97" s="1592"/>
      <c r="AA97" s="1623"/>
    </row>
    <row r="98" spans="1:28">
      <c r="A98" s="1607">
        <v>6</v>
      </c>
      <c r="B98" s="1608">
        <v>208</v>
      </c>
      <c r="C98" s="1600">
        <v>0.2</v>
      </c>
      <c r="D98" s="1546" t="s">
        <v>585</v>
      </c>
      <c r="E98" s="1980">
        <f t="shared" si="42"/>
        <v>19</v>
      </c>
      <c r="F98" s="933">
        <f t="shared" ref="F98:L98" si="48">F23-F73</f>
        <v>11.199999999999989</v>
      </c>
      <c r="G98" s="887">
        <f t="shared" si="48"/>
        <v>3.3999999999999773</v>
      </c>
      <c r="H98" s="887">
        <f t="shared" si="48"/>
        <v>40.612463238825455</v>
      </c>
      <c r="I98" s="887">
        <f t="shared" si="48"/>
        <v>58.546310974082417</v>
      </c>
      <c r="J98" s="887">
        <f t="shared" si="48"/>
        <v>54.658872751774311</v>
      </c>
      <c r="K98" s="986">
        <f t="shared" si="48"/>
        <v>46.844785464683724</v>
      </c>
      <c r="L98" s="1980">
        <f t="shared" si="48"/>
        <v>4</v>
      </c>
      <c r="M98" s="933">
        <f t="shared" ref="M98:S98" si="49">M23-M73</f>
        <v>3</v>
      </c>
      <c r="N98" s="887">
        <f t="shared" si="49"/>
        <v>2</v>
      </c>
      <c r="O98" s="887">
        <f t="shared" si="49"/>
        <v>3.6164575638396563</v>
      </c>
      <c r="P98" s="887">
        <f t="shared" si="49"/>
        <v>14.366776027482711</v>
      </c>
      <c r="Q98" s="887">
        <f t="shared" si="49"/>
        <v>30.891482644255827</v>
      </c>
      <c r="R98" s="986">
        <f t="shared" si="49"/>
        <v>45.388542862122705</v>
      </c>
      <c r="S98" s="1980">
        <f t="shared" si="49"/>
        <v>0</v>
      </c>
      <c r="T98" s="886">
        <f t="shared" si="45"/>
        <v>0</v>
      </c>
      <c r="U98" s="887">
        <f t="shared" si="45"/>
        <v>0</v>
      </c>
      <c r="V98" s="887">
        <f t="shared" si="45"/>
        <v>6.3710791973348773</v>
      </c>
      <c r="W98" s="887">
        <f t="shared" si="45"/>
        <v>6.8869129984348714</v>
      </c>
      <c r="X98" s="887">
        <f t="shared" si="45"/>
        <v>5.4496446039698476</v>
      </c>
      <c r="Y98" s="888">
        <f t="shared" si="45"/>
        <v>3.9666716731935576</v>
      </c>
      <c r="Z98" s="1592"/>
      <c r="AA98" s="1623"/>
    </row>
    <row r="99" spans="1:28">
      <c r="A99" s="1607">
        <v>7</v>
      </c>
      <c r="B99" s="1609">
        <v>20601</v>
      </c>
      <c r="C99" s="1600">
        <v>0.1</v>
      </c>
      <c r="D99" s="1546" t="s">
        <v>766</v>
      </c>
      <c r="E99" s="1980">
        <f t="shared" si="42"/>
        <v>3</v>
      </c>
      <c r="F99" s="933">
        <f t="shared" ref="F99:L99" si="50">F24-F74</f>
        <v>2.3000000000000007</v>
      </c>
      <c r="G99" s="887">
        <f>G24-G74</f>
        <v>40.408203814798512</v>
      </c>
      <c r="H99" s="887">
        <f t="shared" si="50"/>
        <v>43.913260808725141</v>
      </c>
      <c r="I99" s="887">
        <f t="shared" si="50"/>
        <v>45.677440831661855</v>
      </c>
      <c r="J99" s="887">
        <f t="shared" si="50"/>
        <v>45.98633523430739</v>
      </c>
      <c r="K99" s="986">
        <f t="shared" si="50"/>
        <v>45.624752617158428</v>
      </c>
      <c r="L99" s="1980">
        <f t="shared" si="50"/>
        <v>0</v>
      </c>
      <c r="M99" s="933">
        <f t="shared" ref="M99:S99" si="51">M24-M74</f>
        <v>-0.1</v>
      </c>
      <c r="N99" s="887">
        <f t="shared" si="51"/>
        <v>19.632191189967919</v>
      </c>
      <c r="O99" s="887">
        <f t="shared" si="51"/>
        <v>17.968542507911462</v>
      </c>
      <c r="P99" s="887">
        <f t="shared" si="51"/>
        <v>17.935281259000487</v>
      </c>
      <c r="Q99" s="887">
        <f t="shared" si="51"/>
        <v>18.543917164217426</v>
      </c>
      <c r="R99" s="986">
        <f t="shared" si="51"/>
        <v>18.761637380265501</v>
      </c>
      <c r="S99" s="1980">
        <f t="shared" si="51"/>
        <v>6</v>
      </c>
      <c r="T99" s="886">
        <f t="shared" ref="T99:Y99" si="52">T24-T74</f>
        <v>5</v>
      </c>
      <c r="U99" s="887">
        <f t="shared" si="52"/>
        <v>5.2096049952335708</v>
      </c>
      <c r="V99" s="887">
        <f t="shared" si="52"/>
        <v>4.7681966833633922</v>
      </c>
      <c r="W99" s="887">
        <f t="shared" si="52"/>
        <v>3.4372779093376522</v>
      </c>
      <c r="X99" s="887">
        <f t="shared" si="52"/>
        <v>1.9197476014751818</v>
      </c>
      <c r="Y99" s="888">
        <f t="shared" si="52"/>
        <v>0.463610002576063</v>
      </c>
      <c r="Z99" s="1592"/>
      <c r="AA99" s="1623"/>
    </row>
    <row r="100" spans="1:28">
      <c r="A100" s="1610">
        <v>8</v>
      </c>
      <c r="B100" s="1609">
        <v>20602</v>
      </c>
      <c r="C100" s="1600">
        <v>0.1</v>
      </c>
      <c r="D100" s="1546" t="s">
        <v>607</v>
      </c>
      <c r="E100" s="1980">
        <f t="shared" si="42"/>
        <v>8</v>
      </c>
      <c r="F100" s="933">
        <f>F25-F75</f>
        <v>4</v>
      </c>
      <c r="G100" s="887">
        <f t="shared" ref="G100:L100" si="53">G25-G75</f>
        <v>0</v>
      </c>
      <c r="H100" s="887">
        <f t="shared" si="53"/>
        <v>0</v>
      </c>
      <c r="I100" s="887">
        <f t="shared" si="53"/>
        <v>0</v>
      </c>
      <c r="J100" s="887">
        <f t="shared" si="53"/>
        <v>0</v>
      </c>
      <c r="K100" s="986">
        <f t="shared" si="53"/>
        <v>0</v>
      </c>
      <c r="L100" s="1980">
        <f t="shared" si="53"/>
        <v>5</v>
      </c>
      <c r="M100" s="933">
        <f t="shared" ref="M100:S100" si="54">M25-M75</f>
        <v>4</v>
      </c>
      <c r="N100" s="887">
        <f t="shared" si="54"/>
        <v>3</v>
      </c>
      <c r="O100" s="887">
        <f t="shared" si="54"/>
        <v>2</v>
      </c>
      <c r="P100" s="887">
        <f t="shared" si="54"/>
        <v>1</v>
      </c>
      <c r="Q100" s="887">
        <f t="shared" si="54"/>
        <v>0</v>
      </c>
      <c r="R100" s="986">
        <f t="shared" si="54"/>
        <v>0</v>
      </c>
      <c r="S100" s="1980">
        <f t="shared" si="54"/>
        <v>0</v>
      </c>
      <c r="T100" s="886">
        <f t="shared" ref="T100:Y100" si="55">T25-T75</f>
        <v>0</v>
      </c>
      <c r="U100" s="887">
        <f t="shared" si="55"/>
        <v>0</v>
      </c>
      <c r="V100" s="887">
        <f t="shared" si="55"/>
        <v>0</v>
      </c>
      <c r="W100" s="887">
        <f t="shared" si="55"/>
        <v>0</v>
      </c>
      <c r="X100" s="887">
        <f t="shared" si="55"/>
        <v>0</v>
      </c>
      <c r="Y100" s="888">
        <f t="shared" si="55"/>
        <v>0</v>
      </c>
      <c r="Z100" s="1592"/>
      <c r="AA100" s="1623"/>
    </row>
    <row r="101" spans="1:28">
      <c r="A101" s="1610">
        <v>9</v>
      </c>
      <c r="B101" s="1608">
        <v>20603</v>
      </c>
      <c r="C101" s="1600">
        <v>0.5</v>
      </c>
      <c r="D101" s="1546" t="s">
        <v>1441</v>
      </c>
      <c r="E101" s="1980">
        <f t="shared" si="42"/>
        <v>0</v>
      </c>
      <c r="F101" s="933">
        <f t="shared" ref="F101:K101" si="56">F26-F76</f>
        <v>0</v>
      </c>
      <c r="G101" s="887">
        <f t="shared" si="56"/>
        <v>0</v>
      </c>
      <c r="H101" s="887">
        <f t="shared" si="56"/>
        <v>0</v>
      </c>
      <c r="I101" s="887">
        <f t="shared" si="56"/>
        <v>0</v>
      </c>
      <c r="J101" s="887">
        <f t="shared" si="56"/>
        <v>0</v>
      </c>
      <c r="K101" s="986">
        <f t="shared" si="56"/>
        <v>0</v>
      </c>
      <c r="L101" s="1980">
        <f t="shared" ref="L101:S101" si="57">L26-L76</f>
        <v>0</v>
      </c>
      <c r="M101" s="933">
        <f t="shared" si="57"/>
        <v>0</v>
      </c>
      <c r="N101" s="887">
        <f t="shared" si="57"/>
        <v>0</v>
      </c>
      <c r="O101" s="887">
        <f t="shared" si="57"/>
        <v>0</v>
      </c>
      <c r="P101" s="887">
        <f t="shared" si="57"/>
        <v>0</v>
      </c>
      <c r="Q101" s="887">
        <f t="shared" si="57"/>
        <v>0</v>
      </c>
      <c r="R101" s="986">
        <f t="shared" si="57"/>
        <v>0</v>
      </c>
      <c r="S101" s="1980">
        <f t="shared" si="57"/>
        <v>0</v>
      </c>
      <c r="T101" s="886">
        <f t="shared" ref="T101:Y101" si="58">T26-T76</f>
        <v>0</v>
      </c>
      <c r="U101" s="887">
        <f t="shared" si="58"/>
        <v>0</v>
      </c>
      <c r="V101" s="887">
        <f t="shared" si="58"/>
        <v>0</v>
      </c>
      <c r="W101" s="887">
        <f t="shared" si="58"/>
        <v>0</v>
      </c>
      <c r="X101" s="887">
        <f t="shared" si="58"/>
        <v>0</v>
      </c>
      <c r="Y101" s="888">
        <f t="shared" si="58"/>
        <v>0</v>
      </c>
      <c r="Z101" s="1592"/>
      <c r="AA101" s="1623"/>
    </row>
    <row r="102" spans="1:28">
      <c r="A102" s="1610">
        <v>10</v>
      </c>
      <c r="B102" s="1608">
        <v>209</v>
      </c>
      <c r="C102" s="1600">
        <v>0.1</v>
      </c>
      <c r="D102" s="1546" t="s">
        <v>276</v>
      </c>
      <c r="E102" s="1980">
        <f t="shared" si="42"/>
        <v>2</v>
      </c>
      <c r="F102" s="933">
        <f t="shared" ref="F102:L102" si="59">F27-F77</f>
        <v>2</v>
      </c>
      <c r="G102" s="887">
        <f>G27-G77</f>
        <v>2</v>
      </c>
      <c r="H102" s="887">
        <f t="shared" si="59"/>
        <v>2</v>
      </c>
      <c r="I102" s="887">
        <f t="shared" si="59"/>
        <v>2</v>
      </c>
      <c r="J102" s="887">
        <f t="shared" si="59"/>
        <v>2</v>
      </c>
      <c r="K102" s="986">
        <f t="shared" si="59"/>
        <v>2</v>
      </c>
      <c r="L102" s="1980">
        <f t="shared" si="59"/>
        <v>0</v>
      </c>
      <c r="M102" s="933">
        <f t="shared" ref="M102:S102" si="60">M27-M77</f>
        <v>0</v>
      </c>
      <c r="N102" s="887">
        <f t="shared" si="60"/>
        <v>0</v>
      </c>
      <c r="O102" s="887">
        <f t="shared" si="60"/>
        <v>0</v>
      </c>
      <c r="P102" s="887">
        <f t="shared" si="60"/>
        <v>0</v>
      </c>
      <c r="Q102" s="887">
        <f t="shared" si="60"/>
        <v>0</v>
      </c>
      <c r="R102" s="986">
        <f t="shared" si="60"/>
        <v>0</v>
      </c>
      <c r="S102" s="1980">
        <f t="shared" si="60"/>
        <v>0</v>
      </c>
      <c r="T102" s="886">
        <f t="shared" ref="T102:Y102" si="61">T27-T77</f>
        <v>0</v>
      </c>
      <c r="U102" s="887">
        <f t="shared" si="61"/>
        <v>0</v>
      </c>
      <c r="V102" s="887">
        <f t="shared" si="61"/>
        <v>0</v>
      </c>
      <c r="W102" s="887">
        <f t="shared" si="61"/>
        <v>0</v>
      </c>
      <c r="X102" s="887">
        <f t="shared" si="61"/>
        <v>0</v>
      </c>
      <c r="Y102" s="888">
        <f t="shared" si="61"/>
        <v>0</v>
      </c>
      <c r="Z102" s="1592"/>
      <c r="AA102" s="1623"/>
    </row>
    <row r="103" spans="1:28" ht="24">
      <c r="A103" s="1610">
        <v>11</v>
      </c>
      <c r="B103" s="1608">
        <v>207</v>
      </c>
      <c r="C103" s="1600" t="s">
        <v>380</v>
      </c>
      <c r="D103" s="1548" t="s">
        <v>586</v>
      </c>
      <c r="E103" s="1980">
        <f t="shared" si="42"/>
        <v>420</v>
      </c>
      <c r="F103" s="933">
        <f t="shared" ref="F103:L103" si="62">F28-F78</f>
        <v>420</v>
      </c>
      <c r="G103" s="887">
        <f t="shared" si="62"/>
        <v>420</v>
      </c>
      <c r="H103" s="887">
        <f t="shared" si="62"/>
        <v>420</v>
      </c>
      <c r="I103" s="887">
        <f t="shared" si="62"/>
        <v>420</v>
      </c>
      <c r="J103" s="887">
        <f t="shared" si="62"/>
        <v>420</v>
      </c>
      <c r="K103" s="986">
        <f t="shared" si="62"/>
        <v>420</v>
      </c>
      <c r="L103" s="1980">
        <f t="shared" si="62"/>
        <v>0</v>
      </c>
      <c r="M103" s="933">
        <f t="shared" ref="M103:S103" si="63">M28-M78</f>
        <v>0</v>
      </c>
      <c r="N103" s="887">
        <f t="shared" si="63"/>
        <v>0</v>
      </c>
      <c r="O103" s="887">
        <f t="shared" si="63"/>
        <v>0</v>
      </c>
      <c r="P103" s="887">
        <f t="shared" si="63"/>
        <v>0</v>
      </c>
      <c r="Q103" s="887">
        <f t="shared" si="63"/>
        <v>0</v>
      </c>
      <c r="R103" s="986">
        <f t="shared" si="63"/>
        <v>0</v>
      </c>
      <c r="S103" s="1980">
        <f t="shared" si="63"/>
        <v>0</v>
      </c>
      <c r="T103" s="886">
        <f t="shared" ref="T103:Y103" si="64">T28-T78</f>
        <v>0</v>
      </c>
      <c r="U103" s="887">
        <f t="shared" si="64"/>
        <v>0</v>
      </c>
      <c r="V103" s="887">
        <f t="shared" si="64"/>
        <v>0</v>
      </c>
      <c r="W103" s="887">
        <f t="shared" si="64"/>
        <v>0</v>
      </c>
      <c r="X103" s="887">
        <f t="shared" si="64"/>
        <v>0</v>
      </c>
      <c r="Y103" s="888">
        <f t="shared" si="64"/>
        <v>0</v>
      </c>
      <c r="Z103" s="1592"/>
      <c r="AA103" s="1599"/>
      <c r="AB103" s="1562"/>
    </row>
    <row r="104" spans="1:28">
      <c r="A104" s="1610">
        <v>12</v>
      </c>
      <c r="B104" s="1608">
        <v>212</v>
      </c>
      <c r="C104" s="1600">
        <v>0.2</v>
      </c>
      <c r="D104" s="1549" t="s">
        <v>277</v>
      </c>
      <c r="E104" s="1980">
        <f t="shared" si="42"/>
        <v>74</v>
      </c>
      <c r="F104" s="933">
        <f t="shared" ref="F104:L104" si="65">F29-F79</f>
        <v>51.199999999999989</v>
      </c>
      <c r="G104" s="887">
        <f t="shared" si="65"/>
        <v>28.399999999999977</v>
      </c>
      <c r="H104" s="887">
        <f t="shared" si="65"/>
        <v>43.11038603235454</v>
      </c>
      <c r="I104" s="887">
        <f t="shared" si="65"/>
        <v>29.213591659366614</v>
      </c>
      <c r="J104" s="887">
        <f t="shared" si="65"/>
        <v>23.085887589685854</v>
      </c>
      <c r="K104" s="986">
        <f t="shared" si="65"/>
        <v>17.852516116912568</v>
      </c>
      <c r="L104" s="1980">
        <f t="shared" si="65"/>
        <v>19</v>
      </c>
      <c r="M104" s="933">
        <f t="shared" ref="M104:S108" si="66">M29-M79</f>
        <v>14.799999999999997</v>
      </c>
      <c r="N104" s="887">
        <f t="shared" si="66"/>
        <v>10.599999999999994</v>
      </c>
      <c r="O104" s="887">
        <f t="shared" si="66"/>
        <v>8.5803813031997151</v>
      </c>
      <c r="P104" s="887">
        <f t="shared" si="66"/>
        <v>1.4637337085642912</v>
      </c>
      <c r="Q104" s="887">
        <f t="shared" si="66"/>
        <v>-2.5848298708807391</v>
      </c>
      <c r="R104" s="986">
        <f t="shared" si="66"/>
        <v>-5.6354575601141335</v>
      </c>
      <c r="S104" s="1980">
        <f t="shared" si="66"/>
        <v>1</v>
      </c>
      <c r="T104" s="886">
        <f t="shared" ref="T104:Y104" si="67">T29-T79</f>
        <v>1</v>
      </c>
      <c r="U104" s="887">
        <f t="shared" si="67"/>
        <v>1</v>
      </c>
      <c r="V104" s="887">
        <f t="shared" si="67"/>
        <v>6.3092326644457319</v>
      </c>
      <c r="W104" s="887">
        <f t="shared" si="67"/>
        <v>5.3226746320690514</v>
      </c>
      <c r="X104" s="887">
        <f t="shared" si="67"/>
        <v>4.4989422811948474</v>
      </c>
      <c r="Y104" s="888">
        <f t="shared" si="67"/>
        <v>3.7829414432015191</v>
      </c>
      <c r="Z104" s="1592"/>
      <c r="AA104" s="1623"/>
    </row>
    <row r="105" spans="1:28">
      <c r="A105" s="1610">
        <v>13</v>
      </c>
      <c r="B105" s="1607">
        <v>213</v>
      </c>
      <c r="C105" s="1611">
        <v>0.2</v>
      </c>
      <c r="D105" s="271" t="s">
        <v>278</v>
      </c>
      <c r="E105" s="1980">
        <f t="shared" si="42"/>
        <v>0</v>
      </c>
      <c r="F105" s="933">
        <f t="shared" ref="F105:L105" si="68">F30-F80</f>
        <v>0</v>
      </c>
      <c r="G105" s="887">
        <f t="shared" si="68"/>
        <v>0</v>
      </c>
      <c r="H105" s="887">
        <f t="shared" si="68"/>
        <v>0</v>
      </c>
      <c r="I105" s="887">
        <f t="shared" si="68"/>
        <v>0</v>
      </c>
      <c r="J105" s="887">
        <f t="shared" si="68"/>
        <v>0</v>
      </c>
      <c r="K105" s="986">
        <f t="shared" si="68"/>
        <v>0</v>
      </c>
      <c r="L105" s="1980">
        <f t="shared" si="68"/>
        <v>0</v>
      </c>
      <c r="M105" s="933">
        <f t="shared" si="66"/>
        <v>0</v>
      </c>
      <c r="N105" s="887">
        <f t="shared" si="66"/>
        <v>0</v>
      </c>
      <c r="O105" s="887">
        <f t="shared" si="66"/>
        <v>0</v>
      </c>
      <c r="P105" s="887">
        <f t="shared" si="66"/>
        <v>0</v>
      </c>
      <c r="Q105" s="887">
        <f t="shared" si="66"/>
        <v>0</v>
      </c>
      <c r="R105" s="986">
        <f t="shared" si="66"/>
        <v>0</v>
      </c>
      <c r="S105" s="1980">
        <f t="shared" si="66"/>
        <v>0</v>
      </c>
      <c r="T105" s="886">
        <f t="shared" ref="T105:Y105" si="69">T30-T80</f>
        <v>0</v>
      </c>
      <c r="U105" s="887">
        <f t="shared" si="69"/>
        <v>0</v>
      </c>
      <c r="V105" s="887">
        <f t="shared" si="69"/>
        <v>0</v>
      </c>
      <c r="W105" s="887">
        <f t="shared" si="69"/>
        <v>0</v>
      </c>
      <c r="X105" s="887">
        <f t="shared" si="69"/>
        <v>0</v>
      </c>
      <c r="Y105" s="888">
        <f t="shared" si="69"/>
        <v>0</v>
      </c>
      <c r="Z105" s="1592"/>
      <c r="AA105" s="1623"/>
    </row>
    <row r="106" spans="1:28">
      <c r="A106" s="1610">
        <v>14</v>
      </c>
      <c r="B106" s="1612"/>
      <c r="C106" s="1612"/>
      <c r="D106" s="524" t="s">
        <v>844</v>
      </c>
      <c r="E106" s="1980">
        <f t="shared" si="42"/>
        <v>0</v>
      </c>
      <c r="F106" s="933">
        <f t="shared" ref="F106:L108" si="70">F31-F81</f>
        <v>0</v>
      </c>
      <c r="G106" s="887">
        <f t="shared" si="70"/>
        <v>0</v>
      </c>
      <c r="H106" s="887">
        <f t="shared" si="70"/>
        <v>0</v>
      </c>
      <c r="I106" s="887">
        <f t="shared" si="70"/>
        <v>0</v>
      </c>
      <c r="J106" s="887">
        <f t="shared" si="70"/>
        <v>0</v>
      </c>
      <c r="K106" s="986">
        <f t="shared" si="70"/>
        <v>0</v>
      </c>
      <c r="L106" s="1980">
        <f t="shared" si="70"/>
        <v>0</v>
      </c>
      <c r="M106" s="933">
        <f t="shared" si="66"/>
        <v>0</v>
      </c>
      <c r="N106" s="887">
        <f t="shared" si="66"/>
        <v>0</v>
      </c>
      <c r="O106" s="887">
        <f t="shared" si="66"/>
        <v>0</v>
      </c>
      <c r="P106" s="887">
        <f t="shared" si="66"/>
        <v>0</v>
      </c>
      <c r="Q106" s="887">
        <f t="shared" si="66"/>
        <v>0</v>
      </c>
      <c r="R106" s="986">
        <f t="shared" si="66"/>
        <v>0</v>
      </c>
      <c r="S106" s="1980">
        <f t="shared" si="66"/>
        <v>0</v>
      </c>
      <c r="T106" s="886">
        <f t="shared" ref="T106:Y108" si="71">T31-T81</f>
        <v>0</v>
      </c>
      <c r="U106" s="887">
        <f t="shared" si="71"/>
        <v>0</v>
      </c>
      <c r="V106" s="887">
        <f t="shared" si="71"/>
        <v>0</v>
      </c>
      <c r="W106" s="887">
        <f t="shared" si="71"/>
        <v>0</v>
      </c>
      <c r="X106" s="887">
        <f t="shared" si="71"/>
        <v>0</v>
      </c>
      <c r="Y106" s="888">
        <f t="shared" si="71"/>
        <v>0</v>
      </c>
      <c r="Z106" s="1592"/>
      <c r="AA106" s="1623"/>
    </row>
    <row r="107" spans="1:28">
      <c r="A107" s="1610">
        <v>15</v>
      </c>
      <c r="B107" s="1607">
        <v>207</v>
      </c>
      <c r="C107" s="1607" t="s">
        <v>380</v>
      </c>
      <c r="D107" s="271" t="s">
        <v>587</v>
      </c>
      <c r="E107" s="1980">
        <f t="shared" si="42"/>
        <v>0</v>
      </c>
      <c r="F107" s="933">
        <f t="shared" si="70"/>
        <v>0</v>
      </c>
      <c r="G107" s="887">
        <f t="shared" si="70"/>
        <v>0</v>
      </c>
      <c r="H107" s="887">
        <f t="shared" si="70"/>
        <v>0</v>
      </c>
      <c r="I107" s="887">
        <f t="shared" si="70"/>
        <v>0</v>
      </c>
      <c r="J107" s="887">
        <f t="shared" si="70"/>
        <v>0</v>
      </c>
      <c r="K107" s="986">
        <f t="shared" si="70"/>
        <v>0</v>
      </c>
      <c r="L107" s="1980">
        <f t="shared" si="70"/>
        <v>0</v>
      </c>
      <c r="M107" s="933">
        <f t="shared" si="66"/>
        <v>0</v>
      </c>
      <c r="N107" s="887">
        <f t="shared" si="66"/>
        <v>0</v>
      </c>
      <c r="O107" s="887">
        <f t="shared" si="66"/>
        <v>0</v>
      </c>
      <c r="P107" s="887">
        <f t="shared" si="66"/>
        <v>0</v>
      </c>
      <c r="Q107" s="887">
        <f t="shared" si="66"/>
        <v>0</v>
      </c>
      <c r="R107" s="986">
        <f t="shared" si="66"/>
        <v>0</v>
      </c>
      <c r="S107" s="1980">
        <f t="shared" si="66"/>
        <v>0</v>
      </c>
      <c r="T107" s="886">
        <f t="shared" si="71"/>
        <v>0</v>
      </c>
      <c r="U107" s="887">
        <f t="shared" si="71"/>
        <v>0</v>
      </c>
      <c r="V107" s="887">
        <f t="shared" si="71"/>
        <v>0</v>
      </c>
      <c r="W107" s="887">
        <f t="shared" si="71"/>
        <v>0</v>
      </c>
      <c r="X107" s="887">
        <f t="shared" si="71"/>
        <v>0</v>
      </c>
      <c r="Y107" s="888">
        <f t="shared" si="71"/>
        <v>0</v>
      </c>
      <c r="Z107" s="1592"/>
      <c r="AA107" s="1623"/>
    </row>
    <row r="108" spans="1:28" ht="13.5" thickBot="1">
      <c r="A108" s="1610">
        <v>16</v>
      </c>
      <c r="B108" s="1613">
        <v>219</v>
      </c>
      <c r="C108" s="1614">
        <v>0.1</v>
      </c>
      <c r="D108" s="276" t="s">
        <v>279</v>
      </c>
      <c r="E108" s="1982">
        <f t="shared" si="42"/>
        <v>101</v>
      </c>
      <c r="F108" s="933">
        <f t="shared" si="70"/>
        <v>71</v>
      </c>
      <c r="G108" s="887">
        <f t="shared" si="70"/>
        <v>41</v>
      </c>
      <c r="H108" s="887">
        <f t="shared" si="70"/>
        <v>11</v>
      </c>
      <c r="I108" s="887">
        <f t="shared" si="70"/>
        <v>0</v>
      </c>
      <c r="J108" s="887">
        <f t="shared" si="70"/>
        <v>0</v>
      </c>
      <c r="K108" s="986">
        <f t="shared" si="70"/>
        <v>0</v>
      </c>
      <c r="L108" s="1982">
        <f t="shared" si="70"/>
        <v>0</v>
      </c>
      <c r="M108" s="933">
        <f t="shared" si="66"/>
        <v>0</v>
      </c>
      <c r="N108" s="887">
        <f t="shared" si="66"/>
        <v>0</v>
      </c>
      <c r="O108" s="887">
        <f t="shared" si="66"/>
        <v>0</v>
      </c>
      <c r="P108" s="887">
        <f t="shared" si="66"/>
        <v>0</v>
      </c>
      <c r="Q108" s="887">
        <f t="shared" si="66"/>
        <v>0</v>
      </c>
      <c r="R108" s="986">
        <f t="shared" si="66"/>
        <v>0</v>
      </c>
      <c r="S108" s="1982">
        <f t="shared" si="66"/>
        <v>0</v>
      </c>
      <c r="T108" s="886">
        <f t="shared" si="71"/>
        <v>0</v>
      </c>
      <c r="U108" s="887">
        <f t="shared" si="71"/>
        <v>0</v>
      </c>
      <c r="V108" s="887">
        <f t="shared" si="71"/>
        <v>0</v>
      </c>
      <c r="W108" s="887">
        <f t="shared" si="71"/>
        <v>0</v>
      </c>
      <c r="X108" s="887">
        <f t="shared" si="71"/>
        <v>0</v>
      </c>
      <c r="Y108" s="888">
        <f t="shared" si="71"/>
        <v>0</v>
      </c>
      <c r="Z108" s="1633"/>
      <c r="AA108" s="1622"/>
      <c r="AB108" s="1562"/>
    </row>
    <row r="109" spans="1:28" ht="24.75" thickBot="1">
      <c r="A109" s="1634" t="s">
        <v>588</v>
      </c>
      <c r="B109" s="1634"/>
      <c r="C109" s="1634"/>
      <c r="D109" s="1635" t="s">
        <v>866</v>
      </c>
      <c r="E109" s="1575"/>
      <c r="F109" s="1636"/>
      <c r="G109" s="1578"/>
      <c r="H109" s="1578"/>
      <c r="I109" s="1578"/>
      <c r="J109" s="1578"/>
      <c r="K109" s="1637"/>
      <c r="L109" s="1575"/>
      <c r="M109" s="1581"/>
      <c r="N109" s="1577"/>
      <c r="O109" s="1577"/>
      <c r="P109" s="1577"/>
      <c r="Q109" s="1577"/>
      <c r="R109" s="1579"/>
      <c r="S109" s="1575"/>
      <c r="T109" s="1636"/>
      <c r="U109" s="1578"/>
      <c r="V109" s="1578"/>
      <c r="W109" s="1578"/>
      <c r="X109" s="1578"/>
      <c r="Y109" s="1637"/>
      <c r="Z109" s="1638"/>
      <c r="AA109" s="1622"/>
      <c r="AB109" s="1584"/>
    </row>
    <row r="110" spans="1:28" s="1563" customFormat="1" ht="13.5" thickBot="1">
      <c r="A110" s="1585" t="s">
        <v>268</v>
      </c>
      <c r="B110" s="1586"/>
      <c r="C110" s="1586"/>
      <c r="D110" s="1586" t="s">
        <v>483</v>
      </c>
      <c r="E110" s="1639">
        <f t="shared" ref="E110:Y110" si="72">SUM(E111:E129)</f>
        <v>0</v>
      </c>
      <c r="F110" s="1640">
        <f t="shared" si="72"/>
        <v>2003</v>
      </c>
      <c r="G110" s="1641">
        <f t="shared" si="72"/>
        <v>3352.6914175506267</v>
      </c>
      <c r="H110" s="1641">
        <f t="shared" si="72"/>
        <v>5248.6349943768237</v>
      </c>
      <c r="I110" s="1642">
        <f t="shared" si="72"/>
        <v>7240.4896854523386</v>
      </c>
      <c r="J110" s="1641">
        <f t="shared" si="72"/>
        <v>9560.5474681451778</v>
      </c>
      <c r="K110" s="1641">
        <f t="shared" si="72"/>
        <v>11656.936637334547</v>
      </c>
      <c r="L110" s="1639">
        <f t="shared" si="72"/>
        <v>0</v>
      </c>
      <c r="M110" s="1643">
        <f t="shared" si="72"/>
        <v>125</v>
      </c>
      <c r="N110" s="1644">
        <f t="shared" si="72"/>
        <v>129.96142719382834</v>
      </c>
      <c r="O110" s="1644">
        <f t="shared" si="72"/>
        <v>315.33674205528933</v>
      </c>
      <c r="P110" s="1645">
        <f t="shared" si="72"/>
        <v>977.99959483942359</v>
      </c>
      <c r="Q110" s="1644">
        <f t="shared" si="72"/>
        <v>1929.797493650593</v>
      </c>
      <c r="R110" s="1644">
        <f t="shared" si="72"/>
        <v>2864.5620412456151</v>
      </c>
      <c r="S110" s="1639">
        <f t="shared" si="72"/>
        <v>0</v>
      </c>
      <c r="T110" s="1640">
        <f t="shared" si="72"/>
        <v>150</v>
      </c>
      <c r="U110" s="1641">
        <f t="shared" si="72"/>
        <v>184.34715525554483</v>
      </c>
      <c r="V110" s="1641">
        <f t="shared" si="72"/>
        <v>347.02826356788745</v>
      </c>
      <c r="W110" s="1642">
        <f t="shared" si="72"/>
        <v>432.5107197082383</v>
      </c>
      <c r="X110" s="1641">
        <f t="shared" si="72"/>
        <v>476.65503820422941</v>
      </c>
      <c r="Y110" s="1646">
        <f t="shared" si="72"/>
        <v>506.50132141983659</v>
      </c>
      <c r="Z110" s="1587"/>
      <c r="AA110" s="1623"/>
      <c r="AB110" s="1647"/>
    </row>
    <row r="111" spans="1:28" s="1563" customFormat="1">
      <c r="A111" s="1594">
        <v>1</v>
      </c>
      <c r="B111" s="1589">
        <v>20102</v>
      </c>
      <c r="C111" s="1611">
        <v>0</v>
      </c>
      <c r="D111" s="279" t="s">
        <v>760</v>
      </c>
      <c r="E111" s="2169"/>
      <c r="F111" s="901">
        <f>E111+SUMIF('11.1.Амортиз.нови активи'!$B$11:$B$58,$B111,'11.1.Амортиз.нови активи'!F$11:F$58)+('9.Инвестиционна програма'!F$77*SUMIF('11.1.Амортиз.нови активи'!$B$11:$B$58,$B111,'11.1.Амортиз.нови активи'!AA$11:AA$58))</f>
        <v>0</v>
      </c>
      <c r="G111" s="1446">
        <f>F111+SUMIF('11.1.Амортиз.нови активи'!$B$11:$B$58,$B111,'11.1.Амортиз.нови активи'!G$11:G$58)+('9.Инвестиционна програма'!G$77*SUMIF('11.1.Амортиз.нови активи'!$B$11:$B$58,$B111,'11.1.Амортиз.нови активи'!AB$11:AB$58))</f>
        <v>0</v>
      </c>
      <c r="H111" s="902">
        <f>G111+SUMIF('11.1.Амортиз.нови активи'!$B$11:$B$58,$B111,'11.1.Амортиз.нови активи'!H$11:H$58)+('9.Инвестиционна програма'!H$77*SUMIF('11.1.Амортиз.нови активи'!$B$11:$B$58,$B111,'11.1.Амортиз.нови активи'!AC$11:AC$58))</f>
        <v>0</v>
      </c>
      <c r="I111" s="902">
        <f>H111+SUMIF('11.1.Амортиз.нови активи'!$B$11:$B$58,$B111,'11.1.Амортиз.нови активи'!I$11:I$58)+('9.Инвестиционна програма'!I$77*SUMIF('11.1.Амортиз.нови активи'!$B$11:$B$58,$B111,'11.1.Амортиз.нови активи'!AD$11:AD$58))</f>
        <v>0</v>
      </c>
      <c r="J111" s="902">
        <f>I111+SUMIF('11.1.Амортиз.нови активи'!$B$11:$B$58,$B111,'11.1.Амортиз.нови активи'!J$11:J$58)+('9.Инвестиционна програма'!J$77*SUMIF('11.1.Амортиз.нови активи'!$B$11:$B$58,$B111,'11.1.Амортиз.нови активи'!AE$11:AE$58))</f>
        <v>0</v>
      </c>
      <c r="K111" s="903">
        <f>J111+SUMIF('11.1.Амортиз.нови активи'!$B$11:$B$58,$B111,'11.1.Амортиз.нови активи'!K$11:K$58)+('9.Инвестиционна програма'!K$77*SUMIF('11.1.Амортиз.нови активи'!$B$11:$B$58,$B111,'11.1.Амортиз.нови активи'!AF$11:AF$58))</f>
        <v>0</v>
      </c>
      <c r="L111" s="2169"/>
      <c r="M111" s="901">
        <f>L111+SUMIF('11.1.Амортиз.нови активи'!$B$11:$B$58,$B111,'11.1.Амортиз.нови активи'!M$11:M$58)+('9.Инвестиционна програма'!F$78*SUMIF('11.1.Амортиз.нови активи'!$B$11:$B$58,$B111,'11.1.Амортиз.нови активи'!AA$11:AA$58))</f>
        <v>0</v>
      </c>
      <c r="N111" s="902">
        <f>M111+SUMIF('11.1.Амортиз.нови активи'!$B$11:$B$58,$B111,'11.1.Амортиз.нови активи'!N$11:N$58)+('9.Инвестиционна програма'!G$78*SUMIF('11.1.Амортиз.нови активи'!$B$11:$B$58,$B111,'11.1.Амортиз.нови активи'!AB$11:AB$58))</f>
        <v>0</v>
      </c>
      <c r="O111" s="902">
        <f>N111+SUMIF('11.1.Амортиз.нови активи'!$B$11:$B$58,$B111,'11.1.Амортиз.нови активи'!O$11:O$58)+('9.Инвестиционна програма'!H$78*SUMIF('11.1.Амортиз.нови активи'!$B$11:$B$58,$B111,'11.1.Амортиз.нови активи'!AC$11:AC$58))</f>
        <v>0</v>
      </c>
      <c r="P111" s="902">
        <f>O111+SUMIF('11.1.Амортиз.нови активи'!$B$11:$B$58,$B111,'11.1.Амортиз.нови активи'!P$11:P$58)+('9.Инвестиционна програма'!I$78*SUMIF('11.1.Амортиз.нови активи'!$B$11:$B$58,$B111,'11.1.Амортиз.нови активи'!AD$11:AD$58))</f>
        <v>0</v>
      </c>
      <c r="Q111" s="902">
        <f>P111+SUMIF('11.1.Амортиз.нови активи'!$B$11:$B$58,$B111,'11.1.Амортиз.нови активи'!Q$11:Q$58)+('9.Инвестиционна програма'!J$78*SUMIF('11.1.Амортиз.нови активи'!$B$11:$B$58,$B111,'11.1.Амортиз.нови активи'!AE$11:AE$58))</f>
        <v>0</v>
      </c>
      <c r="R111" s="903">
        <f>Q111+SUMIF('11.1.Амортиз.нови активи'!$B$11:$B$58,$B111,'11.1.Амортиз.нови активи'!R$11:R$58)+('9.Инвестиционна програма'!K$78*SUMIF('11.1.Амортиз.нови активи'!$B$11:$B$58,$B111,'11.1.Амортиз.нови активи'!AF$11:AF$58))</f>
        <v>0</v>
      </c>
      <c r="S111" s="2169"/>
      <c r="T111" s="901">
        <f>S111+SUMIF('11.1.Амортиз.нови активи'!$B$11:$B$58,$B111,'11.1.Амортиз.нови активи'!T$11:T$58)+('9.Инвестиционна програма'!F$79*SUMIF('11.1.Амортиз.нови активи'!$B$11:$B$58,$B111,'11.1.Амортиз.нови активи'!AA$11:AA$58))</f>
        <v>0</v>
      </c>
      <c r="U111" s="902">
        <f>T111+SUMIF('11.1.Амортиз.нови активи'!$B$11:$B$58,$B111,'11.1.Амортиз.нови активи'!U$11:U$58)+('9.Инвестиционна програма'!G$79*SUMIF('11.1.Амортиз.нови активи'!$B$11:$B$58,$B111,'11.1.Амортиз.нови активи'!AB$11:AB$58))</f>
        <v>0</v>
      </c>
      <c r="V111" s="902">
        <f>U111+SUMIF('11.1.Амортиз.нови активи'!$B$11:$B$58,$B111,'11.1.Амортиз.нови активи'!V$11:V$58)+('9.Инвестиционна програма'!H$79*SUMIF('11.1.Амортиз.нови активи'!$B$11:$B$58,$B111,'11.1.Амортиз.нови активи'!AC$11:AC$58))</f>
        <v>0</v>
      </c>
      <c r="W111" s="902">
        <f>V111+SUMIF('11.1.Амортиз.нови активи'!$B$11:$B$58,$B111,'11.1.Амортиз.нови активи'!W$11:W$58)+('9.Инвестиционна програма'!I$79*SUMIF('11.1.Амортиз.нови активи'!$B$11:$B$58,$B111,'11.1.Амортиз.нови активи'!AD$11:AD$58))</f>
        <v>0</v>
      </c>
      <c r="X111" s="902">
        <f>W111+SUMIF('11.1.Амортиз.нови активи'!$B$11:$B$58,$B111,'11.1.Амортиз.нови активи'!X$11:X$58)+('9.Инвестиционна програма'!J$79*SUMIF('11.1.Амортиз.нови активи'!$B$11:$B$58,$B111,'11.1.Амортиз.нови активи'!AE$11:AE$58))</f>
        <v>0</v>
      </c>
      <c r="Y111" s="903">
        <f>X111+SUMIF('11.1.Амортиз.нови активи'!$B$11:$B$58,$B111,'11.1.Амортиз.нови активи'!Y$11:Y$58)+('9.Инвестиционна програма'!K$79*SUMIF('11.1.Амортиз.нови активи'!$B$11:$B$58,$B111,'11.1.Амортиз.нови активи'!AF$11:AF$58))</f>
        <v>0</v>
      </c>
      <c r="Z111" s="1592"/>
      <c r="AA111" s="1623"/>
      <c r="AB111" s="1647"/>
    </row>
    <row r="112" spans="1:28" s="1563" customFormat="1">
      <c r="A112" s="1594">
        <v>2</v>
      </c>
      <c r="B112" s="1595">
        <v>20202</v>
      </c>
      <c r="C112" s="1596">
        <v>0.03</v>
      </c>
      <c r="D112" s="1648" t="s">
        <v>598</v>
      </c>
      <c r="E112" s="2169"/>
      <c r="F112" s="898">
        <f>E112+SUMIF('11.1.Амортиз.нови активи'!$B$11:$B$58,$B112,'11.1.Амортиз.нови активи'!F$11:F$58)+('9.Инвестиционна програма'!F$77*SUMIF('11.1.Амортиз.нови активи'!$B$11:$B$58,$B112,'11.1.Амортиз.нови активи'!AA$11:AA$58))</f>
        <v>0</v>
      </c>
      <c r="G112" s="899">
        <f>F112+SUMIF('11.1.Амортиз.нови активи'!$B$11:$B$58,$B112,'11.1.Амортиз.нови активи'!G$11:G$58)+('9.Инвестиционна програма'!G$77*SUMIF('11.1.Амортиз.нови активи'!$B$11:$B$58,$B112,'11.1.Амортиз.нови активи'!AB$11:AB$58))</f>
        <v>6</v>
      </c>
      <c r="H112" s="899">
        <f>G112+SUMIF('11.1.Амортиз.нови активи'!$B$11:$B$58,$B112,'11.1.Амортиз.нови активи'!H$11:H$58)+('9.Инвестиционна програма'!H$77*SUMIF('11.1.Амортиз.нови активи'!$B$11:$B$58,$B112,'11.1.Амортиз.нови активи'!AC$11:AC$58))</f>
        <v>16</v>
      </c>
      <c r="I112" s="899">
        <f>H112+SUMIF('11.1.Амортиз.нови активи'!$B$11:$B$58,$B112,'11.1.Амортиз.нови активи'!I$11:I$58)+('9.Инвестиционна програма'!I$77*SUMIF('11.1.Амортиз.нови активи'!$B$11:$B$58,$B112,'11.1.Амортиз.нови активи'!AD$11:AD$58))</f>
        <v>51</v>
      </c>
      <c r="J112" s="899">
        <f>I112+SUMIF('11.1.Амортиз.нови активи'!$B$11:$B$58,$B112,'11.1.Амортиз.нови активи'!J$11:J$58)+('9.Инвестиционна програма'!J$77*SUMIF('11.1.Амортиз.нови активи'!$B$11:$B$58,$B112,'11.1.Амортиз.нови активи'!AE$11:AE$58))</f>
        <v>81</v>
      </c>
      <c r="K112" s="900">
        <f>J112+SUMIF('11.1.Амортиз.нови активи'!$B$11:$B$58,$B112,'11.1.Амортиз.нови активи'!K$11:K$58)+('9.Инвестиционна програма'!K$77*SUMIF('11.1.Амортиз.нови активи'!$B$11:$B$58,$B112,'11.1.Амортиз.нови активи'!AF$11:AF$58))</f>
        <v>111</v>
      </c>
      <c r="L112" s="2169"/>
      <c r="M112" s="898">
        <f>L112+SUMIF('11.1.Амортиз.нови активи'!$B$11:$B$58,$B112,'11.1.Амортиз.нови активи'!M$11:M$58)+('9.Инвестиционна програма'!F$78*SUMIF('11.1.Амортиз.нови активи'!$B$11:$B$58,$B112,'11.1.Амортиз.нови активи'!AA$11:AA$58))</f>
        <v>0</v>
      </c>
      <c r="N112" s="899">
        <f>M112+SUMIF('11.1.Амортиз.нови активи'!$B$11:$B$58,$B112,'11.1.Амортиз.нови активи'!N$11:N$58)+('9.Инвестиционна програма'!G$78*SUMIF('11.1.Амортиз.нови активи'!$B$11:$B$58,$B112,'11.1.Амортиз.нови активи'!AB$11:AB$58))</f>
        <v>0</v>
      </c>
      <c r="O112" s="899">
        <f>N112+SUMIF('11.1.Амортиз.нови активи'!$B$11:$B$58,$B112,'11.1.Амортиз.нови активи'!O$11:O$58)+('9.Инвестиционна програма'!H$78*SUMIF('11.1.Амортиз.нови активи'!$B$11:$B$58,$B112,'11.1.Амортиз.нови активи'!AC$11:AC$58))</f>
        <v>0</v>
      </c>
      <c r="P112" s="899">
        <f>O112+SUMIF('11.1.Амортиз.нови активи'!$B$11:$B$58,$B112,'11.1.Амортиз.нови активи'!P$11:P$58)+('9.Инвестиционна програма'!I$78*SUMIF('11.1.Амортиз.нови активи'!$B$11:$B$58,$B112,'11.1.Амортиз.нови активи'!AD$11:AD$58))</f>
        <v>0</v>
      </c>
      <c r="Q112" s="899">
        <f>P112+SUMIF('11.1.Амортиз.нови активи'!$B$11:$B$58,$B112,'11.1.Амортиз.нови активи'!Q$11:Q$58)+('9.Инвестиционна програма'!J$78*SUMIF('11.1.Амортиз.нови активи'!$B$11:$B$58,$B112,'11.1.Амортиз.нови активи'!AE$11:AE$58))</f>
        <v>0</v>
      </c>
      <c r="R112" s="900">
        <f>Q112+SUMIF('11.1.Амортиз.нови активи'!$B$11:$B$58,$B112,'11.1.Амортиз.нови активи'!R$11:R$58)+('9.Инвестиционна програма'!K$78*SUMIF('11.1.Амортиз.нови активи'!$B$11:$B$58,$B112,'11.1.Амортиз.нови активи'!AF$11:AF$58))</f>
        <v>0</v>
      </c>
      <c r="S112" s="2169"/>
      <c r="T112" s="898">
        <f>S112+SUMIF('11.1.Амортиз.нови активи'!$B$11:$B$58,$B112,'11.1.Амортиз.нови активи'!T$11:T$58)+('9.Инвестиционна програма'!F$79*SUMIF('11.1.Амортиз.нови активи'!$B$11:$B$58,$B112,'11.1.Амортиз.нови активи'!AA$11:AA$58))</f>
        <v>0</v>
      </c>
      <c r="U112" s="899">
        <f>T112+SUMIF('11.1.Амортиз.нови активи'!$B$11:$B$58,$B112,'11.1.Амортиз.нови активи'!U$11:U$58)+('9.Инвестиционна програма'!G$79*SUMIF('11.1.Амортиз.нови активи'!$B$11:$B$58,$B112,'11.1.Амортиз.нови активи'!AB$11:AB$58))</f>
        <v>0</v>
      </c>
      <c r="V112" s="899">
        <f>U112+SUMIF('11.1.Амортиз.нови активи'!$B$11:$B$58,$B112,'11.1.Амортиз.нови активи'!V$11:V$58)+('9.Инвестиционна програма'!H$79*SUMIF('11.1.Амортиз.нови активи'!$B$11:$B$58,$B112,'11.1.Амортиз.нови активи'!AC$11:AC$58))</f>
        <v>0</v>
      </c>
      <c r="W112" s="899">
        <f>V112+SUMIF('11.1.Амортиз.нови активи'!$B$11:$B$58,$B112,'11.1.Амортиз.нови активи'!W$11:W$58)+('9.Инвестиционна програма'!I$79*SUMIF('11.1.Амортиз.нови активи'!$B$11:$B$58,$B112,'11.1.Амортиз.нови активи'!AD$11:AD$58))</f>
        <v>0</v>
      </c>
      <c r="X112" s="899">
        <f>W112+SUMIF('11.1.Амортиз.нови активи'!$B$11:$B$58,$B112,'11.1.Амортиз.нови активи'!X$11:X$58)+('9.Инвестиционна програма'!J$79*SUMIF('11.1.Амортиз.нови активи'!$B$11:$B$58,$B112,'11.1.Амортиз.нови активи'!AE$11:AE$58))</f>
        <v>0</v>
      </c>
      <c r="Y112" s="900">
        <f>X112+SUMIF('11.1.Амортиз.нови активи'!$B$11:$B$58,$B112,'11.1.Амортиз.нови активи'!Y$11:Y$58)+('9.Инвестиционна програма'!K$79*SUMIF('11.1.Амортиз.нови активи'!$B$11:$B$58,$B112,'11.1.Амортиз.нови активи'!AF$11:AF$58))</f>
        <v>0</v>
      </c>
      <c r="Z112" s="1592"/>
      <c r="AA112" s="1623"/>
      <c r="AB112" s="1647"/>
    </row>
    <row r="113" spans="1:28" s="1563" customFormat="1">
      <c r="A113" s="1594">
        <v>3</v>
      </c>
      <c r="B113" s="1595">
        <v>2030401</v>
      </c>
      <c r="C113" s="1600">
        <v>0.1</v>
      </c>
      <c r="D113" s="1546" t="s">
        <v>1470</v>
      </c>
      <c r="E113" s="2169"/>
      <c r="F113" s="898">
        <f>E113+SUMIF('11.1.Амортиз.нови активи'!$B$11:$B$58,$B113,'11.1.Амортиз.нови активи'!F$11:F$58)+('9.Инвестиционна програма'!F$77*SUMIF('11.1.Амортиз.нови активи'!$B$11:$B$58,$B113,'11.1.Амортиз.нови активи'!AA$11:AA$58))</f>
        <v>0</v>
      </c>
      <c r="G113" s="899">
        <f>F113+SUMIF('11.1.Амортиз.нови активи'!$B$11:$B$58,$B113,'11.1.Амортиз.нови активи'!G$11:G$58)+('9.Инвестиционна програма'!G$77*SUMIF('11.1.Амортиз.нови активи'!$B$11:$B$58,$B113,'11.1.Амортиз.нови активи'!AB$11:AB$58))</f>
        <v>0</v>
      </c>
      <c r="H113" s="899">
        <f>G113+SUMIF('11.1.Амортиз.нови активи'!$B$11:$B$58,$B113,'11.1.Амортиз.нови активи'!H$11:H$58)+('9.Инвестиционна програма'!H$77*SUMIF('11.1.Амортиз.нови активи'!$B$11:$B$58,$B113,'11.1.Амортиз.нови активи'!AC$11:AC$58))</f>
        <v>0</v>
      </c>
      <c r="I113" s="899">
        <f>H113+SUMIF('11.1.Амортиз.нови активи'!$B$11:$B$58,$B113,'11.1.Амортиз.нови активи'!I$11:I$58)+('9.Инвестиционна програма'!I$77*SUMIF('11.1.Амортиз.нови активи'!$B$11:$B$58,$B113,'11.1.Амортиз.нови активи'!AD$11:AD$58))</f>
        <v>0</v>
      </c>
      <c r="J113" s="899">
        <f>I113+SUMIF('11.1.Амортиз.нови активи'!$B$11:$B$58,$B113,'11.1.Амортиз.нови активи'!J$11:J$58)+('9.Инвестиционна програма'!J$77*SUMIF('11.1.Амортиз.нови активи'!$B$11:$B$58,$B113,'11.1.Амортиз.нови активи'!AE$11:AE$58))</f>
        <v>0</v>
      </c>
      <c r="K113" s="900">
        <f>J113+SUMIF('11.1.Амортиз.нови активи'!$B$11:$B$58,$B113,'11.1.Амортиз.нови активи'!K$11:K$58)+('9.Инвестиционна програма'!K$77*SUMIF('11.1.Амортиз.нови активи'!$B$11:$B$58,$B113,'11.1.Амортиз.нови активи'!AF$11:AF$58))</f>
        <v>0</v>
      </c>
      <c r="L113" s="2169"/>
      <c r="M113" s="898">
        <f>L113+SUMIF('11.1.Амортиз.нови активи'!$B$11:$B$58,$B113,'11.1.Амортиз.нови активи'!M$11:M$58)+('9.Инвестиционна програма'!F$78*SUMIF('11.1.Амортиз.нови активи'!$B$11:$B$58,$B113,'11.1.Амортиз.нови активи'!AA$11:AA$58))</f>
        <v>0</v>
      </c>
      <c r="N113" s="899">
        <f>M113+SUMIF('11.1.Амортиз.нови активи'!$B$11:$B$58,$B113,'11.1.Амортиз.нови активи'!N$11:N$58)+('9.Инвестиционна програма'!G$78*SUMIF('11.1.Амортиз.нови активи'!$B$11:$B$58,$B113,'11.1.Амортиз.нови активи'!AB$11:AB$58))</f>
        <v>0</v>
      </c>
      <c r="O113" s="899">
        <f>N113+SUMIF('11.1.Амортиз.нови активи'!$B$11:$B$58,$B113,'11.1.Амортиз.нови активи'!O$11:O$58)+('9.Инвестиционна програма'!H$78*SUMIF('11.1.Амортиз.нови активи'!$B$11:$B$58,$B113,'11.1.Амортиз.нови активи'!AC$11:AC$58))</f>
        <v>0</v>
      </c>
      <c r="P113" s="899">
        <f>O113+SUMIF('11.1.Амортиз.нови активи'!$B$11:$B$58,$B113,'11.1.Амортиз.нови активи'!P$11:P$58)+('9.Инвестиционна програма'!I$78*SUMIF('11.1.Амортиз.нови активи'!$B$11:$B$58,$B113,'11.1.Амортиз.нови активи'!AD$11:AD$58))</f>
        <v>0</v>
      </c>
      <c r="Q113" s="899">
        <f>P113+SUMIF('11.1.Амортиз.нови активи'!$B$11:$B$58,$B113,'11.1.Амортиз.нови активи'!Q$11:Q$58)+('9.Инвестиционна програма'!J$78*SUMIF('11.1.Амортиз.нови активи'!$B$11:$B$58,$B113,'11.1.Амортиз.нови активи'!AE$11:AE$58))</f>
        <v>0</v>
      </c>
      <c r="R113" s="900">
        <f>Q113+SUMIF('11.1.Амортиз.нови активи'!$B$11:$B$58,$B113,'11.1.Амортиз.нови активи'!R$11:R$58)+('9.Инвестиционна програма'!K$78*SUMIF('11.1.Амортиз.нови активи'!$B$11:$B$58,$B113,'11.1.Амортиз.нови активи'!AF$11:AF$58))</f>
        <v>0</v>
      </c>
      <c r="S113" s="2169"/>
      <c r="T113" s="898">
        <f>S113+SUMIF('11.1.Амортиз.нови активи'!$B$11:$B$58,$B113,'11.1.Амортиз.нови активи'!T$11:T$58)+('9.Инвестиционна програма'!F$79*SUMIF('11.1.Амортиз.нови активи'!$B$11:$B$58,$B113,'11.1.Амортиз.нови активи'!AA$11:AA$58))</f>
        <v>0</v>
      </c>
      <c r="U113" s="899">
        <f>T113+SUMIF('11.1.Амортиз.нови активи'!$B$11:$B$58,$B113,'11.1.Амортиз.нови активи'!U$11:U$58)+('9.Инвестиционна програма'!G$79*SUMIF('11.1.Амортиз.нови активи'!$B$11:$B$58,$B113,'11.1.Амортиз.нови активи'!AB$11:AB$58))</f>
        <v>0</v>
      </c>
      <c r="V113" s="899">
        <f>U113+SUMIF('11.1.Амортиз.нови активи'!$B$11:$B$58,$B113,'11.1.Амортиз.нови активи'!V$11:V$58)+('9.Инвестиционна програма'!H$79*SUMIF('11.1.Амортиз.нови активи'!$B$11:$B$58,$B113,'11.1.Амортиз.нови активи'!AC$11:AC$58))</f>
        <v>0</v>
      </c>
      <c r="W113" s="899">
        <f>V113+SUMIF('11.1.Амортиз.нови активи'!$B$11:$B$58,$B113,'11.1.Амортиз.нови активи'!W$11:W$58)+('9.Инвестиционна програма'!I$79*SUMIF('11.1.Амортиз.нови активи'!$B$11:$B$58,$B113,'11.1.Амортиз.нови активи'!AD$11:AD$58))</f>
        <v>0</v>
      </c>
      <c r="X113" s="899">
        <f>W113+SUMIF('11.1.Амортиз.нови активи'!$B$11:$B$58,$B113,'11.1.Амортиз.нови активи'!X$11:X$58)+('9.Инвестиционна програма'!J$79*SUMIF('11.1.Амортиз.нови активи'!$B$11:$B$58,$B113,'11.1.Амортиз.нови активи'!AE$11:AE$58))</f>
        <v>0</v>
      </c>
      <c r="Y113" s="900">
        <f>X113+SUMIF('11.1.Амортиз.нови активи'!$B$11:$B$58,$B113,'11.1.Амортиз.нови активи'!Y$11:Y$58)+('9.Инвестиционна програма'!K$79*SUMIF('11.1.Амортиз.нови активи'!$B$11:$B$58,$B113,'11.1.Амортиз.нови активи'!AF$11:AF$58))</f>
        <v>0</v>
      </c>
      <c r="Z113" s="1592"/>
      <c r="AA113" s="1623"/>
      <c r="AB113" s="1647"/>
    </row>
    <row r="114" spans="1:28" s="1563" customFormat="1">
      <c r="A114" s="1594">
        <v>4</v>
      </c>
      <c r="B114" s="1595">
        <v>2030402</v>
      </c>
      <c r="C114" s="1600">
        <v>0.1</v>
      </c>
      <c r="D114" s="1546" t="s">
        <v>601</v>
      </c>
      <c r="E114" s="2169"/>
      <c r="F114" s="898">
        <f>E114+SUMIF('11.1.Амортиз.нови активи'!$B$11:$B$58,$B114,'11.1.Амортиз.нови активи'!F$11:F$58)+('9.Инвестиционна програма'!F$77*SUMIF('11.1.Амортиз.нови активи'!$B$11:$B$58,$B114,'11.1.Амортиз.нови активи'!AA$11:AA$58))</f>
        <v>0</v>
      </c>
      <c r="G114" s="899">
        <f>F114+SUMIF('11.1.Амортиз.нови активи'!$B$11:$B$58,$B114,'11.1.Амортиз.нови активи'!G$11:G$58)+('9.Инвестиционна програма'!G$77*SUMIF('11.1.Амортиз.нови активи'!$B$11:$B$58,$B114,'11.1.Амортиз.нови активи'!AB$11:AB$58))</f>
        <v>0</v>
      </c>
      <c r="H114" s="899">
        <f>G114+SUMIF('11.1.Амортиз.нови активи'!$B$11:$B$58,$B114,'11.1.Амортиз.нови активи'!H$11:H$58)+('9.Инвестиционна програма'!H$77*SUMIF('11.1.Амортиз.нови активи'!$B$11:$B$58,$B114,'11.1.Амортиз.нови активи'!AC$11:AC$58))</f>
        <v>0</v>
      </c>
      <c r="I114" s="899">
        <f>H114+SUMIF('11.1.Амортиз.нови активи'!$B$11:$B$58,$B114,'11.1.Амортиз.нови активи'!I$11:I$58)+('9.Инвестиционна програма'!I$77*SUMIF('11.1.Амортиз.нови активи'!$B$11:$B$58,$B114,'11.1.Амортиз.нови активи'!AD$11:AD$58))</f>
        <v>0</v>
      </c>
      <c r="J114" s="899">
        <f>I114+SUMIF('11.1.Амортиз.нови активи'!$B$11:$B$58,$B114,'11.1.Амортиз.нови активи'!J$11:J$58)+('9.Инвестиционна програма'!J$77*SUMIF('11.1.Амортиз.нови активи'!$B$11:$B$58,$B114,'11.1.Амортиз.нови активи'!AE$11:AE$58))</f>
        <v>0</v>
      </c>
      <c r="K114" s="900">
        <f>J114+SUMIF('11.1.Амортиз.нови активи'!$B$11:$B$58,$B114,'11.1.Амортиз.нови активи'!K$11:K$58)+('9.Инвестиционна програма'!K$77*SUMIF('11.1.Амортиз.нови активи'!$B$11:$B$58,$B114,'11.1.Амортиз.нови активи'!AF$11:AF$58))</f>
        <v>0</v>
      </c>
      <c r="L114" s="2169"/>
      <c r="M114" s="898">
        <f>L114+SUMIF('11.1.Амортиз.нови активи'!$B$11:$B$58,$B114,'11.1.Амортиз.нови активи'!M$11:M$58)+('9.Инвестиционна програма'!F$78*SUMIF('11.1.Амортиз.нови активи'!$B$11:$B$58,$B114,'11.1.Амортиз.нови активи'!AA$11:AA$58))</f>
        <v>0</v>
      </c>
      <c r="N114" s="899">
        <f>M114+SUMIF('11.1.Амортиз.нови активи'!$B$11:$B$58,$B114,'11.1.Амортиз.нови активи'!N$11:N$58)+('9.Инвестиционна програма'!G$78*SUMIF('11.1.Амортиз.нови активи'!$B$11:$B$58,$B114,'11.1.Амортиз.нови активи'!AB$11:AB$58))</f>
        <v>0</v>
      </c>
      <c r="O114" s="899">
        <f>N114+SUMIF('11.1.Амортиз.нови активи'!$B$11:$B$58,$B114,'11.1.Амортиз.нови активи'!O$11:O$58)+('9.Инвестиционна програма'!H$78*SUMIF('11.1.Амортиз.нови активи'!$B$11:$B$58,$B114,'11.1.Амортиз.нови активи'!AC$11:AC$58))</f>
        <v>0</v>
      </c>
      <c r="P114" s="899">
        <f>O114+SUMIF('11.1.Амортиз.нови активи'!$B$11:$B$58,$B114,'11.1.Амортиз.нови активи'!P$11:P$58)+('9.Инвестиционна програма'!I$78*SUMIF('11.1.Амортиз.нови активи'!$B$11:$B$58,$B114,'11.1.Амортиз.нови активи'!AD$11:AD$58))</f>
        <v>0</v>
      </c>
      <c r="Q114" s="899">
        <f>P114+SUMIF('11.1.Амортиз.нови активи'!$B$11:$B$58,$B114,'11.1.Амортиз.нови активи'!Q$11:Q$58)+('9.Инвестиционна програма'!J$78*SUMIF('11.1.Амортиз.нови активи'!$B$11:$B$58,$B114,'11.1.Амортиз.нови активи'!AE$11:AE$58))</f>
        <v>0</v>
      </c>
      <c r="R114" s="900">
        <f>Q114+SUMIF('11.1.Амортиз.нови активи'!$B$11:$B$58,$B114,'11.1.Амортиз.нови активи'!R$11:R$58)+('9.Инвестиционна програма'!K$78*SUMIF('11.1.Амортиз.нови активи'!$B$11:$B$58,$B114,'11.1.Амортиз.нови активи'!AF$11:AF$58))</f>
        <v>0</v>
      </c>
      <c r="S114" s="2169"/>
      <c r="T114" s="898">
        <f>S114+SUMIF('11.1.Амортиз.нови активи'!$B$11:$B$58,$B114,'11.1.Амортиз.нови активи'!T$11:T$58)+('9.Инвестиционна програма'!F$79*SUMIF('11.1.Амортиз.нови активи'!$B$11:$B$58,$B114,'11.1.Амортиз.нови активи'!AA$11:AA$58))</f>
        <v>0</v>
      </c>
      <c r="U114" s="899">
        <f>T114+SUMIF('11.1.Амортиз.нови активи'!$B$11:$B$58,$B114,'11.1.Амортиз.нови активи'!U$11:U$58)+('9.Инвестиционна програма'!G$79*SUMIF('11.1.Амортиз.нови активи'!$B$11:$B$58,$B114,'11.1.Амортиз.нови активи'!AB$11:AB$58))</f>
        <v>0</v>
      </c>
      <c r="V114" s="899">
        <f>U114+SUMIF('11.1.Амортиз.нови активи'!$B$11:$B$58,$B114,'11.1.Амортиз.нови активи'!V$11:V$58)+('9.Инвестиционна програма'!H$79*SUMIF('11.1.Амортиз.нови активи'!$B$11:$B$58,$B114,'11.1.Амортиз.нови активи'!AC$11:AC$58))</f>
        <v>0</v>
      </c>
      <c r="W114" s="899">
        <f>V114+SUMIF('11.1.Амортиз.нови активи'!$B$11:$B$58,$B114,'11.1.Амортиз.нови активи'!W$11:W$58)+('9.Инвестиционна програма'!I$79*SUMIF('11.1.Амортиз.нови активи'!$B$11:$B$58,$B114,'11.1.Амортиз.нови активи'!AD$11:AD$58))</f>
        <v>0</v>
      </c>
      <c r="X114" s="899">
        <f>W114+SUMIF('11.1.Амортиз.нови активи'!$B$11:$B$58,$B114,'11.1.Амортиз.нови активи'!X$11:X$58)+('9.Инвестиционна програма'!J$79*SUMIF('11.1.Амортиз.нови активи'!$B$11:$B$58,$B114,'11.1.Амортиз.нови активи'!AE$11:AE$58))</f>
        <v>0</v>
      </c>
      <c r="Y114" s="900">
        <f>X114+SUMIF('11.1.Амортиз.нови активи'!$B$11:$B$58,$B114,'11.1.Амортиз.нови активи'!Y$11:Y$58)+('9.Инвестиционна програма'!K$79*SUMIF('11.1.Амортиз.нови активи'!$B$11:$B$58,$B114,'11.1.Амортиз.нови активи'!AF$11:AF$58))</f>
        <v>0</v>
      </c>
      <c r="Z114" s="1592"/>
      <c r="AA114" s="1623"/>
      <c r="AB114" s="1647"/>
    </row>
    <row r="115" spans="1:28" s="1563" customFormat="1">
      <c r="A115" s="1594">
        <v>5</v>
      </c>
      <c r="B115" s="1595">
        <v>2030501</v>
      </c>
      <c r="C115" s="1600">
        <v>0.1</v>
      </c>
      <c r="D115" s="1546" t="s">
        <v>1391</v>
      </c>
      <c r="E115" s="2169"/>
      <c r="F115" s="898">
        <f>E115+SUMIF('11.1.Амортиз.нови активи'!$B$11:$B$58,$B115,'11.1.Амортиз.нови активи'!F$11:F$58)+('9.Инвестиционна програма'!F$77*SUMIF('11.1.Амортиз.нови активи'!$B$11:$B$58,$B115,'11.1.Амортиз.нови активи'!AA$11:AA$58))</f>
        <v>19</v>
      </c>
      <c r="G115" s="899">
        <f>F115+SUMIF('11.1.Амортиз.нови активи'!$B$11:$B$58,$B115,'11.1.Амортиз.нови активи'!G$11:G$58)+('9.Инвестиционна програма'!G$77*SUMIF('11.1.Амортиз.нови активи'!$B$11:$B$58,$B115,'11.1.Амортиз.нови активи'!AB$11:AB$58))</f>
        <v>137.6914175506268</v>
      </c>
      <c r="H115" s="899">
        <f>G115+SUMIF('11.1.Амортиз.нови активи'!$B$11:$B$58,$B115,'11.1.Амортиз.нови активи'!H$11:H$58)+('9.Инвестиционна програма'!H$77*SUMIF('11.1.Амортиз.нови активи'!$B$11:$B$58,$B115,'11.1.Амортиз.нови активи'!AC$11:AC$58))</f>
        <v>492.85917573702477</v>
      </c>
      <c r="I115" s="899">
        <f>H115+SUMIF('11.1.Амортиз.нови активи'!$B$11:$B$58,$B115,'11.1.Амортиз.нови активи'!I$11:I$58)+('9.Инвестиционна програма'!I$77*SUMIF('11.1.Амортиз.нови активи'!$B$11:$B$58,$B115,'11.1.Амортиз.нови активи'!AD$11:AD$58))</f>
        <v>818.29739083999959</v>
      </c>
      <c r="J115" s="899">
        <f>I115+SUMIF('11.1.Амортиз.нови активи'!$B$11:$B$58,$B115,'11.1.Амортиз.нови активи'!J$11:J$58)+('9.Инвестиционна програма'!J$77*SUMIF('11.1.Амортиз.нови активи'!$B$11:$B$58,$B115,'11.1.Амортиз.нови активи'!AE$11:AE$58))</f>
        <v>1301.0051597092281</v>
      </c>
      <c r="K115" s="900">
        <f>J115+SUMIF('11.1.Амортиз.нови активи'!$B$11:$B$58,$B115,'11.1.Амортиз.нови активи'!K$11:K$58)+('9.Инвестиционна програма'!K$77*SUMIF('11.1.Амортиз.нови активи'!$B$11:$B$58,$B115,'11.1.Амортиз.нови активи'!AF$11:AF$58))</f>
        <v>1785.8924789154171</v>
      </c>
      <c r="L115" s="2169"/>
      <c r="M115" s="898">
        <f>L115+SUMIF('11.1.Амортиз.нови активи'!$B$11:$B$58,$B115,'11.1.Амортиз.нови активи'!M$11:M$58)+('9.Инвестиционна програма'!F$78*SUMIF('11.1.Амортиз.нови активи'!$B$11:$B$58,$B115,'11.1.Амортиз.нови активи'!AA$11:AA$58))</f>
        <v>0</v>
      </c>
      <c r="N115" s="899">
        <f>M115+SUMIF('11.1.Амортиз.нови активи'!$B$11:$B$58,$B115,'11.1.Амортиз.нови активи'!N$11:N$58)+('9.Инвестиционна програма'!G$78*SUMIF('11.1.Амортиз.нови активи'!$B$11:$B$58,$B115,'11.1.Амортиз.нови активи'!AB$11:AB$58))</f>
        <v>4.9614271938283512</v>
      </c>
      <c r="O115" s="899">
        <f>N115+SUMIF('11.1.Амортиз.нови активи'!$B$11:$B$58,$B115,'11.1.Амортиз.нови активи'!O$11:O$58)+('9.Инвестиционна програма'!H$78*SUMIF('11.1.Амортиз.нови активи'!$B$11:$B$58,$B115,'11.1.Амортиз.нови активи'!AC$11:AC$58))</f>
        <v>26.747321400377473</v>
      </c>
      <c r="P115" s="899">
        <f>O115+SUMIF('11.1.Амортиз.нови активи'!$B$11:$B$58,$B115,'11.1.Амортиз.нови активи'!P$11:P$58)+('9.Инвестиционна програма'!I$78*SUMIF('11.1.Амортиз.нови активи'!$B$11:$B$58,$B115,'11.1.Амортиз.нови активи'!AD$11:AD$58))</f>
        <v>83.65121156056054</v>
      </c>
      <c r="Q115" s="899">
        <f>P115+SUMIF('11.1.Амортиз.нови активи'!$B$11:$B$58,$B115,'11.1.Амортиз.нови активи'!Q$11:Q$58)+('9.Инвестиционна програма'!J$78*SUMIF('11.1.Амортиз.нови активи'!$B$11:$B$58,$B115,'11.1.Амортиз.нови активи'!AE$11:AE$58))</f>
        <v>190.08001996531587</v>
      </c>
      <c r="R115" s="900">
        <f>Q115+SUMIF('11.1.Амортиз.нови активи'!$B$11:$B$58,$B115,'11.1.Амортиз.нови активи'!R$11:R$58)+('9.Инвестиционна програма'!K$78*SUMIF('11.1.Амортиз.нови активи'!$B$11:$B$58,$B115,'11.1.Амортиз.нови активи'!AF$11:AF$58))</f>
        <v>293.06522009986008</v>
      </c>
      <c r="S115" s="2169"/>
      <c r="T115" s="898">
        <f>S115+SUMIF('11.1.Амортиз.нови активи'!$B$11:$B$58,$B115,'11.1.Амортиз.нови активи'!T$11:T$58)+('9.Инвестиционна програма'!F$79*SUMIF('11.1.Амортиз.нови активи'!$B$11:$B$58,$B115,'11.1.Амортиз.нови активи'!AA$11:AA$58))</f>
        <v>0</v>
      </c>
      <c r="U115" s="899">
        <f>T115+SUMIF('11.1.Амортиз.нови активи'!$B$11:$B$58,$B115,'11.1.Амортиз.нови активи'!U$11:U$58)+('9.Инвестиционна програма'!G$79*SUMIF('11.1.Амортиз.нови активи'!$B$11:$B$58,$B115,'11.1.Амортиз.нови активи'!AB$11:AB$58))</f>
        <v>0.34715525554484089</v>
      </c>
      <c r="V115" s="899">
        <f>U115+SUMIF('11.1.Амортиз.нови активи'!$B$11:$B$58,$B115,'11.1.Амортиз.нови активи'!V$11:V$58)+('9.Инвестиционна програма'!H$79*SUMIF('11.1.Амортиз.нови активи'!$B$11:$B$58,$B115,'11.1.Амортиз.нови активи'!AC$11:AC$58))</f>
        <v>32.393502862597735</v>
      </c>
      <c r="W115" s="899">
        <f>V115+SUMIF('11.1.Амортиз.нови активи'!$B$11:$B$58,$B115,'11.1.Амортиз.нови активи'!W$11:W$58)+('9.Инвестиционна програма'!I$79*SUMIF('11.1.Амортиз.нови активи'!$B$11:$B$58,$B115,'11.1.Амортиз.нови активи'!AD$11:AD$58))</f>
        <v>43.051397599439838</v>
      </c>
      <c r="X115" s="899">
        <f>W115+SUMIF('11.1.Амортиз.нови активи'!$B$11:$B$58,$B115,'11.1.Амортиз.нови активи'!X$11:X$58)+('9.Инвестиционна програма'!J$79*SUMIF('11.1.Амортиз.нови активи'!$B$11:$B$58,$B115,'11.1.Амортиз.нови активи'!AE$11:AE$58))</f>
        <v>49.914820325455871</v>
      </c>
      <c r="Y115" s="900">
        <f>X115+SUMIF('11.1.Амортиз.нови активи'!$B$11:$B$58,$B115,'11.1.Амортиз.нови активи'!Y$11:Y$58)+('9.Инвестиционна програма'!K$79*SUMIF('11.1.Амортиз.нови активи'!$B$11:$B$58,$B115,'11.1.Амортиз.нови активи'!AF$11:AF$58))</f>
        <v>58.042300984722601</v>
      </c>
      <c r="Z115" s="1601"/>
      <c r="AA115" s="1623"/>
      <c r="AB115" s="1647"/>
    </row>
    <row r="116" spans="1:28" s="1563" customFormat="1" ht="24">
      <c r="A116" s="1594">
        <v>6</v>
      </c>
      <c r="B116" s="1595">
        <v>2030502</v>
      </c>
      <c r="C116" s="1600">
        <v>0.1</v>
      </c>
      <c r="D116" s="1546" t="s">
        <v>948</v>
      </c>
      <c r="E116" s="2169"/>
      <c r="F116" s="898">
        <f>E116+SUMIF('11.1.Амортиз.нови активи'!$B$11:$B$58,$B116,'11.1.Амортиз.нови активи'!F$11:F$58)+('9.Инвестиционна програма'!F$77*SUMIF('11.1.Амортиз.нови активи'!$B$11:$B$58,$B116,'11.1.Амортиз.нови активи'!AA$11:AA$58))</f>
        <v>0</v>
      </c>
      <c r="G116" s="899">
        <f>F116+SUMIF('11.1.Амортиз.нови активи'!$B$11:$B$58,$B116,'11.1.Амортиз.нови активи'!G$11:G$58)+('9.Инвестиционна програма'!G$77*SUMIF('11.1.Амортиз.нови активи'!$B$11:$B$58,$B116,'11.1.Амортиз.нови активи'!AB$11:AB$58))</f>
        <v>92</v>
      </c>
      <c r="H116" s="899">
        <f>G116+SUMIF('11.1.Амортиз.нови активи'!$B$11:$B$58,$B116,'11.1.Амортиз.нови активи'!H$11:H$58)+('9.Инвестиционна програма'!H$77*SUMIF('11.1.Амортиз.нови активи'!$B$11:$B$58,$B116,'11.1.Амортиз.нови активи'!AC$11:AC$58))</f>
        <v>92</v>
      </c>
      <c r="I116" s="899">
        <f>H116+SUMIF('11.1.Амортиз.нови активи'!$B$11:$B$58,$B116,'11.1.Амортиз.нови активи'!I$11:I$58)+('9.Инвестиционна програма'!I$77*SUMIF('11.1.Амортиз.нови активи'!$B$11:$B$58,$B116,'11.1.Амортиз.нови активи'!AD$11:AD$58))</f>
        <v>167</v>
      </c>
      <c r="J116" s="899">
        <f>I116+SUMIF('11.1.Амортиз.нови активи'!$B$11:$B$58,$B116,'11.1.Амортиз.нови активи'!J$11:J$58)+('9.Инвестиционна програма'!J$77*SUMIF('11.1.Амортиз.нови активи'!$B$11:$B$58,$B116,'11.1.Амортиз.нови активи'!AE$11:AE$58))</f>
        <v>237</v>
      </c>
      <c r="K116" s="900">
        <f>J116+SUMIF('11.1.Амортиз.нови активи'!$B$11:$B$58,$B116,'11.1.Амортиз.нови активи'!K$11:K$58)+('9.Инвестиционна програма'!K$77*SUMIF('11.1.Амортиз.нови активи'!$B$11:$B$58,$B116,'11.1.Амортиз.нови активи'!AF$11:AF$58))</f>
        <v>307</v>
      </c>
      <c r="L116" s="2169"/>
      <c r="M116" s="898">
        <f>L116+SUMIF('11.1.Амортиз.нови активи'!$B$11:$B$58,$B116,'11.1.Амортиз.нови активи'!M$11:M$58)+('9.Инвестиционна програма'!F$78*SUMIF('11.1.Амортиз.нови активи'!$B$11:$B$58,$B116,'11.1.Амортиз.нови активи'!AA$11:AA$58))</f>
        <v>0</v>
      </c>
      <c r="N116" s="899">
        <f>M116+SUMIF('11.1.Амортиз.нови активи'!$B$11:$B$58,$B116,'11.1.Амортиз.нови активи'!N$11:N$58)+('9.Инвестиционна програма'!G$78*SUMIF('11.1.Амортиз.нови активи'!$B$11:$B$58,$B116,'11.1.Амортиз.нови активи'!AB$11:AB$58))</f>
        <v>0</v>
      </c>
      <c r="O116" s="899">
        <f>N116+SUMIF('11.1.Амортиз.нови активи'!$B$11:$B$58,$B116,'11.1.Амортиз.нови активи'!O$11:O$58)+('9.Инвестиционна програма'!H$78*SUMIF('11.1.Амортиз.нови активи'!$B$11:$B$58,$B116,'11.1.Амортиз.нови активи'!AC$11:AC$58))</f>
        <v>0</v>
      </c>
      <c r="P116" s="899">
        <f>O116+SUMIF('11.1.Амортиз.нови активи'!$B$11:$B$58,$B116,'11.1.Амортиз.нови активи'!P$11:P$58)+('9.Инвестиционна програма'!I$78*SUMIF('11.1.Амортиз.нови активи'!$B$11:$B$58,$B116,'11.1.Амортиз.нови активи'!AD$11:AD$58))</f>
        <v>0</v>
      </c>
      <c r="Q116" s="899">
        <f>P116+SUMIF('11.1.Амортиз.нови активи'!$B$11:$B$58,$B116,'11.1.Амортиз.нови активи'!Q$11:Q$58)+('9.Инвестиционна програма'!J$78*SUMIF('11.1.Амортиз.нови активи'!$B$11:$B$58,$B116,'11.1.Амортиз.нови активи'!AE$11:AE$58))</f>
        <v>0</v>
      </c>
      <c r="R116" s="900">
        <f>Q116+SUMIF('11.1.Амортиз.нови активи'!$B$11:$B$58,$B116,'11.1.Амортиз.нови активи'!R$11:R$58)+('9.Инвестиционна програма'!K$78*SUMIF('11.1.Амортиз.нови активи'!$B$11:$B$58,$B116,'11.1.Амортиз.нови активи'!AF$11:AF$58))</f>
        <v>0</v>
      </c>
      <c r="S116" s="2169"/>
      <c r="T116" s="898">
        <f>S116+SUMIF('11.1.Амортиз.нови активи'!$B$11:$B$58,$B116,'11.1.Амортиз.нови активи'!T$11:T$58)+('9.Инвестиционна програма'!F$79*SUMIF('11.1.Амортиз.нови активи'!$B$11:$B$58,$B116,'11.1.Амортиз.нови активи'!AA$11:AA$58))</f>
        <v>0</v>
      </c>
      <c r="U116" s="899">
        <f>T116+SUMIF('11.1.Амортиз.нови активи'!$B$11:$B$58,$B116,'11.1.Амортиз.нови активи'!U$11:U$58)+('9.Инвестиционна програма'!G$79*SUMIF('11.1.Амортиз.нови активи'!$B$11:$B$58,$B116,'11.1.Амортиз.нови активи'!AB$11:AB$58))</f>
        <v>0</v>
      </c>
      <c r="V116" s="899">
        <f>U116+SUMIF('11.1.Амортиз.нови активи'!$B$11:$B$58,$B116,'11.1.Амортиз.нови активи'!V$11:V$58)+('9.Инвестиционна програма'!H$79*SUMIF('11.1.Амортиз.нови активи'!$B$11:$B$58,$B116,'11.1.Амортиз.нови активи'!AC$11:AC$58))</f>
        <v>0</v>
      </c>
      <c r="W116" s="899">
        <f>V116+SUMIF('11.1.Амортиз.нови активи'!$B$11:$B$58,$B116,'11.1.Амортиз.нови активи'!W$11:W$58)+('9.Инвестиционна програма'!I$79*SUMIF('11.1.Амортиз.нови активи'!$B$11:$B$58,$B116,'11.1.Амортиз.нови активи'!AD$11:AD$58))</f>
        <v>0</v>
      </c>
      <c r="X116" s="899">
        <f>W116+SUMIF('11.1.Амортиз.нови активи'!$B$11:$B$58,$B116,'11.1.Амортиз.нови активи'!X$11:X$58)+('9.Инвестиционна програма'!J$79*SUMIF('11.1.Амортиз.нови активи'!$B$11:$B$58,$B116,'11.1.Амортиз.нови активи'!AE$11:AE$58))</f>
        <v>0</v>
      </c>
      <c r="Y116" s="900">
        <f>X116+SUMIF('11.1.Амортиз.нови активи'!$B$11:$B$58,$B116,'11.1.Амортиз.нови активи'!Y$11:Y$58)+('9.Инвестиционна програма'!K$79*SUMIF('11.1.Амортиз.нови активи'!$B$11:$B$58,$B116,'11.1.Амортиз.нови активи'!AF$11:AF$58))</f>
        <v>0</v>
      </c>
      <c r="Z116" s="1592"/>
      <c r="AA116" s="1623"/>
      <c r="AB116" s="1647"/>
    </row>
    <row r="117" spans="1:28" s="1563" customFormat="1">
      <c r="A117" s="1594">
        <v>7</v>
      </c>
      <c r="B117" s="1595">
        <v>2030503</v>
      </c>
      <c r="C117" s="1600">
        <v>0.1</v>
      </c>
      <c r="D117" s="1546" t="s">
        <v>966</v>
      </c>
      <c r="E117" s="2169"/>
      <c r="F117" s="898">
        <f>E117+SUMIF('11.1.Амортиз.нови активи'!$B$11:$B$58,$B117,'11.1.Амортиз.нови активи'!F$11:F$58)+('9.Инвестиционна програма'!F$77*SUMIF('11.1.Амортиз.нови активи'!$B$11:$B$58,$B117,'11.1.Амортиз.нови активи'!AA$11:AA$58))</f>
        <v>1</v>
      </c>
      <c r="G117" s="899">
        <f>F117+SUMIF('11.1.Амортиз.нови активи'!$B$11:$B$58,$B117,'11.1.Амортиз.нови активи'!G$11:G$58)+('9.Инвестиционна програма'!G$77*SUMIF('11.1.Амортиз.нови активи'!$B$11:$B$58,$B117,'11.1.Амортиз.нови активи'!AB$11:AB$58))</f>
        <v>1</v>
      </c>
      <c r="H117" s="899">
        <f>G117+SUMIF('11.1.Амортиз.нови активи'!$B$11:$B$58,$B117,'11.1.Амортиз.нови активи'!H$11:H$58)+('9.Инвестиционна програма'!H$77*SUMIF('11.1.Амортиз.нови активи'!$B$11:$B$58,$B117,'11.1.Амортиз.нови активи'!AC$11:AC$58))</f>
        <v>1</v>
      </c>
      <c r="I117" s="899">
        <f>H117+SUMIF('11.1.Амортиз.нови активи'!$B$11:$B$58,$B117,'11.1.Амортиз.нови активи'!I$11:I$58)+('9.Инвестиционна програма'!I$77*SUMIF('11.1.Амортиз.нови активи'!$B$11:$B$58,$B117,'11.1.Амортиз.нови активи'!AD$11:AD$58))</f>
        <v>49</v>
      </c>
      <c r="J117" s="899">
        <f>I117+SUMIF('11.1.Амортиз.нови активи'!$B$11:$B$58,$B117,'11.1.Амортиз.нови активи'!J$11:J$58)+('9.Инвестиционна програма'!J$77*SUMIF('11.1.Амортиз.нови активи'!$B$11:$B$58,$B117,'11.1.Амортиз.нови активи'!AE$11:AE$58))</f>
        <v>99</v>
      </c>
      <c r="K117" s="900">
        <f>J117+SUMIF('11.1.Амортиз.нови активи'!$B$11:$B$58,$B117,'11.1.Амортиз.нови активи'!K$11:K$58)+('9.Инвестиционна програма'!K$77*SUMIF('11.1.Амортиз.нови активи'!$B$11:$B$58,$B117,'11.1.Амортиз.нови активи'!AF$11:AF$58))</f>
        <v>154</v>
      </c>
      <c r="L117" s="2169"/>
      <c r="M117" s="898">
        <f>L117+SUMIF('11.1.Амортиз.нови активи'!$B$11:$B$58,$B117,'11.1.Амортиз.нови активи'!M$11:M$58)+('9.Инвестиционна програма'!F$78*SUMIF('11.1.Амортиз.нови активи'!$B$11:$B$58,$B117,'11.1.Амортиз.нови активи'!AA$11:AA$58))</f>
        <v>41</v>
      </c>
      <c r="N117" s="899">
        <f>M117+SUMIF('11.1.Амортиз.нови активи'!$B$11:$B$58,$B117,'11.1.Амортиз.нови активи'!N$11:N$58)+('9.Инвестиционна програма'!G$78*SUMIF('11.1.Амортиз.нови активи'!$B$11:$B$58,$B117,'11.1.Амортиз.нови активи'!AB$11:AB$58))</f>
        <v>41</v>
      </c>
      <c r="O117" s="899">
        <f>N117+SUMIF('11.1.Амортиз.нови активи'!$B$11:$B$58,$B117,'11.1.Амортиз.нови активи'!O$11:O$58)+('9.Инвестиционна програма'!H$78*SUMIF('11.1.Амортиз.нови активи'!$B$11:$B$58,$B117,'11.1.Амортиз.нови активи'!AC$11:AC$58))</f>
        <v>41</v>
      </c>
      <c r="P117" s="899">
        <f>O117+SUMIF('11.1.Амортиз.нови активи'!$B$11:$B$58,$B117,'11.1.Амортиз.нови активи'!P$11:P$58)+('9.Инвестиционна програма'!I$78*SUMIF('11.1.Амортиз.нови активи'!$B$11:$B$58,$B117,'11.1.Амортиз.нови активи'!AD$11:AD$58))</f>
        <v>91</v>
      </c>
      <c r="Q117" s="899">
        <f>P117+SUMIF('11.1.Амортиз.нови активи'!$B$11:$B$58,$B117,'11.1.Амортиз.нови активи'!Q$11:Q$58)+('9.Инвестиционна програма'!J$78*SUMIF('11.1.Амортиз.нови активи'!$B$11:$B$58,$B117,'11.1.Амортиз.нови активи'!AE$11:AE$58))</f>
        <v>106</v>
      </c>
      <c r="R117" s="900">
        <f>Q117+SUMIF('11.1.Амортиз.нови активи'!$B$11:$B$58,$B117,'11.1.Амортиз.нови активи'!R$11:R$58)+('9.Инвестиционна програма'!K$78*SUMIF('11.1.Амортиз.нови активи'!$B$11:$B$58,$B117,'11.1.Амортиз.нови активи'!AF$11:AF$58))</f>
        <v>121</v>
      </c>
      <c r="S117" s="2169"/>
      <c r="T117" s="898">
        <f>S117+SUMIF('11.1.Амортиз.нови активи'!$B$11:$B$58,$B117,'11.1.Амортиз.нови активи'!T$11:T$58)+('9.Инвестиционна програма'!F$79*SUMIF('11.1.Амортиз.нови активи'!$B$11:$B$58,$B117,'11.1.Амортиз.нови активи'!AA$11:AA$58))</f>
        <v>30</v>
      </c>
      <c r="U117" s="899">
        <f>T117+SUMIF('11.1.Амортиз.нови активи'!$B$11:$B$58,$B117,'11.1.Амортиз.нови активи'!U$11:U$58)+('9.Инвестиционна програма'!G$79*SUMIF('11.1.Амортиз.нови активи'!$B$11:$B$58,$B117,'11.1.Амортиз.нови активи'!AB$11:AB$58))</f>
        <v>30</v>
      </c>
      <c r="V117" s="899">
        <f>U117+SUMIF('11.1.Амортиз.нови активи'!$B$11:$B$58,$B117,'11.1.Амортиз.нови активи'!V$11:V$58)+('9.Инвестиционна програма'!H$79*SUMIF('11.1.Амортиз.нови активи'!$B$11:$B$58,$B117,'11.1.Амортиз.нови активи'!AC$11:AC$58))</f>
        <v>30</v>
      </c>
      <c r="W117" s="899">
        <f>V117+SUMIF('11.1.Амортиз.нови активи'!$B$11:$B$58,$B117,'11.1.Амортиз.нови активи'!W$11:W$58)+('9.Инвестиционна програма'!I$79*SUMIF('11.1.Амортиз.нови активи'!$B$11:$B$58,$B117,'11.1.Амортиз.нови активи'!AD$11:AD$58))</f>
        <v>30</v>
      </c>
      <c r="X117" s="899">
        <f>W117+SUMIF('11.1.Амортиз.нови активи'!$B$11:$B$58,$B117,'11.1.Амортиз.нови активи'!X$11:X$58)+('9.Инвестиционна програма'!J$79*SUMIF('11.1.Амортиз.нови активи'!$B$11:$B$58,$B117,'11.1.Амортиз.нови активи'!AE$11:AE$58))</f>
        <v>30</v>
      </c>
      <c r="Y117" s="900">
        <f>X117+SUMIF('11.1.Амортиз.нови активи'!$B$11:$B$58,$B117,'11.1.Амортиз.нови активи'!Y$11:Y$58)+('9.Инвестиционна програма'!K$79*SUMIF('11.1.Амортиз.нови активи'!$B$11:$B$58,$B117,'11.1.Амортиз.нови активи'!AF$11:AF$58))</f>
        <v>30</v>
      </c>
      <c r="Z117" s="1592"/>
      <c r="AA117" s="1623"/>
      <c r="AB117" s="1647"/>
    </row>
    <row r="118" spans="1:28" s="1563" customFormat="1">
      <c r="A118" s="1594">
        <v>8</v>
      </c>
      <c r="B118" s="1595">
        <v>2040101</v>
      </c>
      <c r="C118" s="1649">
        <v>0.1</v>
      </c>
      <c r="D118" s="1558" t="s">
        <v>1442</v>
      </c>
      <c r="E118" s="2169"/>
      <c r="F118" s="898">
        <f>E118+SUMIF('11.1.Амортиз.нови активи'!$B$11:$B$58,$B118,'11.1.Амортиз.нови активи'!F$11:F$58)+('9.Инвестиционна програма'!F$77*SUMIF('11.1.Амортиз.нови активи'!$B$11:$B$58,$B118,'11.1.Амортиз.нови активи'!AA$11:AA$58))</f>
        <v>0</v>
      </c>
      <c r="G118" s="899">
        <f>F118+SUMIF('11.1.Амортиз.нови активи'!$B$11:$B$58,$B118,'11.1.Амортиз.нови активи'!G$11:G$58)+('9.Инвестиционна програма'!G$77*SUMIF('11.1.Амортиз.нови активи'!$B$11:$B$58,$B118,'11.1.Амортиз.нови активи'!AB$11:AB$58))</f>
        <v>0</v>
      </c>
      <c r="H118" s="899">
        <f>G118+SUMIF('11.1.Амортиз.нови активи'!$B$11:$B$58,$B118,'11.1.Амортиз.нови активи'!H$11:H$58)+('9.Инвестиционна програма'!H$77*SUMIF('11.1.Амортиз.нови активи'!$B$11:$B$58,$B118,'11.1.Амортиз.нови активи'!AC$11:AC$58))</f>
        <v>0</v>
      </c>
      <c r="I118" s="899">
        <f>H118+SUMIF('11.1.Амортиз.нови активи'!$B$11:$B$58,$B118,'11.1.Амортиз.нови активи'!I$11:I$58)+('9.Инвестиционна програма'!I$77*SUMIF('11.1.Амортиз.нови активи'!$B$11:$B$58,$B118,'11.1.Амортиз.нови активи'!AD$11:AD$58))</f>
        <v>0</v>
      </c>
      <c r="J118" s="899">
        <f>I118+SUMIF('11.1.Амортиз.нови активи'!$B$11:$B$58,$B118,'11.1.Амортиз.нови активи'!J$11:J$58)+('9.Инвестиционна програма'!J$77*SUMIF('11.1.Амортиз.нови активи'!$B$11:$B$58,$B118,'11.1.Амортиз.нови активи'!AE$11:AE$58))</f>
        <v>0</v>
      </c>
      <c r="K118" s="900">
        <f>J118+SUMIF('11.1.Амортиз.нови активи'!$B$11:$B$58,$B118,'11.1.Амортиз.нови активи'!K$11:K$58)+('9.Инвестиционна програма'!K$77*SUMIF('11.1.Амортиз.нови активи'!$B$11:$B$58,$B118,'11.1.Амортиз.нови активи'!AF$11:AF$58))</f>
        <v>0</v>
      </c>
      <c r="L118" s="2169"/>
      <c r="M118" s="898">
        <f>L118+SUMIF('11.1.Амортиз.нови активи'!$B$11:$B$58,$B118,'11.1.Амортиз.нови активи'!M$11:M$58)+('9.Инвестиционна програма'!F$78*SUMIF('11.1.Амортиз.нови активи'!$B$11:$B$58,$B118,'11.1.Амортиз.нови активи'!AA$11:AA$58))</f>
        <v>0</v>
      </c>
      <c r="N118" s="899">
        <f>M118+SUMIF('11.1.Амортиз.нови активи'!$B$11:$B$58,$B118,'11.1.Амортиз.нови активи'!N$11:N$58)+('9.Инвестиционна програма'!G$78*SUMIF('11.1.Амортиз.нови активи'!$B$11:$B$58,$B118,'11.1.Амортиз.нови активи'!AB$11:AB$58))</f>
        <v>0</v>
      </c>
      <c r="O118" s="899">
        <f>N118+SUMIF('11.1.Амортиз.нови активи'!$B$11:$B$58,$B118,'11.1.Амортиз.нови активи'!O$11:O$58)+('9.Инвестиционна програма'!H$78*SUMIF('11.1.Амортиз.нови активи'!$B$11:$B$58,$B118,'11.1.Амортиз.нови активи'!AC$11:AC$58))</f>
        <v>0</v>
      </c>
      <c r="P118" s="899">
        <f>O118+SUMIF('11.1.Амортиз.нови активи'!$B$11:$B$58,$B118,'11.1.Амортиз.нови активи'!P$11:P$58)+('9.Инвестиционна програма'!I$78*SUMIF('11.1.Амортиз.нови активи'!$B$11:$B$58,$B118,'11.1.Амортиз.нови активи'!AD$11:AD$58))</f>
        <v>0</v>
      </c>
      <c r="Q118" s="899">
        <f>P118+SUMIF('11.1.Амортиз.нови активи'!$B$11:$B$58,$B118,'11.1.Амортиз.нови активи'!Q$11:Q$58)+('9.Инвестиционна програма'!J$78*SUMIF('11.1.Амортиз.нови активи'!$B$11:$B$58,$B118,'11.1.Амортиз.нови активи'!AE$11:AE$58))</f>
        <v>0</v>
      </c>
      <c r="R118" s="900">
        <f>Q118+SUMIF('11.1.Амортиз.нови активи'!$B$11:$B$58,$B118,'11.1.Амортиз.нови активи'!R$11:R$58)+('9.Инвестиционна програма'!K$78*SUMIF('11.1.Амортиз.нови активи'!$B$11:$B$58,$B118,'11.1.Амортиз.нови активи'!AF$11:AF$58))</f>
        <v>0</v>
      </c>
      <c r="S118" s="2169"/>
      <c r="T118" s="898">
        <f>S118+SUMIF('11.1.Амортиз.нови активи'!$B$11:$B$58,$B118,'11.1.Амортиз.нови активи'!T$11:T$58)+('9.Инвестиционна програма'!F$79*SUMIF('11.1.Амортиз.нови активи'!$B$11:$B$58,$B118,'11.1.Амортиз.нови активи'!AA$11:AA$58))</f>
        <v>0</v>
      </c>
      <c r="U118" s="899">
        <f>T118+SUMIF('11.1.Амортиз.нови активи'!$B$11:$B$58,$B118,'11.1.Амортиз.нови активи'!U$11:U$58)+('9.Инвестиционна програма'!G$79*SUMIF('11.1.Амортиз.нови активи'!$B$11:$B$58,$B118,'11.1.Амортиз.нови активи'!AB$11:AB$58))</f>
        <v>0</v>
      </c>
      <c r="V118" s="899">
        <f>U118+SUMIF('11.1.Амортиз.нови активи'!$B$11:$B$58,$B118,'11.1.Амортиз.нови активи'!V$11:V$58)+('9.Инвестиционна програма'!H$79*SUMIF('11.1.Амортиз.нови активи'!$B$11:$B$58,$B118,'11.1.Амортиз.нови активи'!AC$11:AC$58))</f>
        <v>0</v>
      </c>
      <c r="W118" s="899">
        <f>V118+SUMIF('11.1.Амортиз.нови активи'!$B$11:$B$58,$B118,'11.1.Амортиз.нови активи'!W$11:W$58)+('9.Инвестиционна програма'!I$79*SUMIF('11.1.Амортиз.нови активи'!$B$11:$B$58,$B118,'11.1.Амортиз.нови активи'!AD$11:AD$58))</f>
        <v>0</v>
      </c>
      <c r="X118" s="899">
        <f>W118+SUMIF('11.1.Амортиз.нови активи'!$B$11:$B$58,$B118,'11.1.Амортиз.нови активи'!X$11:X$58)+('9.Инвестиционна програма'!J$79*SUMIF('11.1.Амортиз.нови активи'!$B$11:$B$58,$B118,'11.1.Амортиз.нови активи'!AE$11:AE$58))</f>
        <v>0</v>
      </c>
      <c r="Y118" s="900">
        <f>X118+SUMIF('11.1.Амортиз.нови активи'!$B$11:$B$58,$B118,'11.1.Амортиз.нови активи'!Y$11:Y$58)+('9.Инвестиционна програма'!K$79*SUMIF('11.1.Амортиз.нови активи'!$B$11:$B$58,$B118,'11.1.Амортиз.нови активи'!AF$11:AF$58))</f>
        <v>0</v>
      </c>
      <c r="Z118" s="1592"/>
      <c r="AA118" s="1623"/>
      <c r="AB118" s="1647"/>
    </row>
    <row r="119" spans="1:28" s="1563" customFormat="1">
      <c r="A119" s="1650">
        <v>9</v>
      </c>
      <c r="B119" s="1595">
        <v>2040102</v>
      </c>
      <c r="C119" s="1649">
        <v>0.04</v>
      </c>
      <c r="D119" s="1558" t="s">
        <v>604</v>
      </c>
      <c r="E119" s="2169"/>
      <c r="F119" s="898">
        <f>E119+SUMIF('11.1.Амортиз.нови активи'!$B$11:$B$58,$B119,'11.1.Амортиз.нови активи'!F$11:F$58)+('9.Инвестиционна програма'!F$77*SUMIF('11.1.Амортиз.нови активи'!$B$11:$B$58,$B119,'11.1.Амортиз.нови активи'!AA$11:AA$58))</f>
        <v>0</v>
      </c>
      <c r="G119" s="899">
        <f>F119+SUMIF('11.1.Амортиз.нови активи'!$B$11:$B$58,$B119,'11.1.Амортиз.нови активи'!G$11:G$58)+('9.Инвестиционна програма'!G$77*SUMIF('11.1.Амортиз.нови активи'!$B$11:$B$58,$B119,'11.1.Амортиз.нови активи'!AB$11:AB$58))</f>
        <v>0</v>
      </c>
      <c r="H119" s="899">
        <f>G119+SUMIF('11.1.Амортиз.нови активи'!$B$11:$B$58,$B119,'11.1.Амортиз.нови активи'!H$11:H$58)+('9.Инвестиционна програма'!H$77*SUMIF('11.1.Амортиз.нови активи'!$B$11:$B$58,$B119,'11.1.Амортиз.нови активи'!AC$11:AC$58))</f>
        <v>0</v>
      </c>
      <c r="I119" s="899">
        <f>H119+SUMIF('11.1.Амортиз.нови активи'!$B$11:$B$58,$B119,'11.1.Амортиз.нови активи'!I$11:I$58)+('9.Инвестиционна програма'!I$77*SUMIF('11.1.Амортиз.нови активи'!$B$11:$B$58,$B119,'11.1.Амортиз.нови активи'!AD$11:AD$58))</f>
        <v>0</v>
      </c>
      <c r="J119" s="899">
        <f>I119+SUMIF('11.1.Амортиз.нови активи'!$B$11:$B$58,$B119,'11.1.Амортиз.нови активи'!J$11:J$58)+('9.Инвестиционна програма'!J$77*SUMIF('11.1.Амортиз.нови активи'!$B$11:$B$58,$B119,'11.1.Амортиз.нови активи'!AE$11:AE$58))</f>
        <v>0</v>
      </c>
      <c r="K119" s="900">
        <f>J119+SUMIF('11.1.Амортиз.нови активи'!$B$11:$B$58,$B119,'11.1.Амортиз.нови активи'!K$11:K$58)+('9.Инвестиционна програма'!K$77*SUMIF('11.1.Амортиз.нови активи'!$B$11:$B$58,$B119,'11.1.Амортиз.нови активи'!AF$11:AF$58))</f>
        <v>0</v>
      </c>
      <c r="L119" s="2169"/>
      <c r="M119" s="898">
        <f>L119+SUMIF('11.1.Амортиз.нови активи'!$B$11:$B$58,$B119,'11.1.Амортиз.нови активи'!M$11:M$58)+('9.Инвестиционна програма'!F$78*SUMIF('11.1.Амортиз.нови активи'!$B$11:$B$58,$B119,'11.1.Амортиз.нови активи'!AA$11:AA$58))</f>
        <v>0</v>
      </c>
      <c r="N119" s="899">
        <f>M119+SUMIF('11.1.Амортиз.нови активи'!$B$11:$B$58,$B119,'11.1.Амортиз.нови активи'!N$11:N$58)+('9.Инвестиционна програма'!G$78*SUMIF('11.1.Амортиз.нови активи'!$B$11:$B$58,$B119,'11.1.Амортиз.нови активи'!AB$11:AB$58))</f>
        <v>0</v>
      </c>
      <c r="O119" s="899">
        <f>N119+SUMIF('11.1.Амортиз.нови активи'!$B$11:$B$58,$B119,'11.1.Амортиз.нови активи'!O$11:O$58)+('9.Инвестиционна програма'!H$78*SUMIF('11.1.Амортиз.нови активи'!$B$11:$B$58,$B119,'11.1.Амортиз.нови активи'!AC$11:AC$58))</f>
        <v>0</v>
      </c>
      <c r="P119" s="899">
        <f>O119+SUMIF('11.1.Амортиз.нови активи'!$B$11:$B$58,$B119,'11.1.Амортиз.нови активи'!P$11:P$58)+('9.Инвестиционна програма'!I$78*SUMIF('11.1.Амортиз.нови активи'!$B$11:$B$58,$B119,'11.1.Амортиз.нови активи'!AD$11:AD$58))</f>
        <v>0</v>
      </c>
      <c r="Q119" s="899">
        <f>P119+SUMIF('11.1.Амортиз.нови активи'!$B$11:$B$58,$B119,'11.1.Амортиз.нови активи'!Q$11:Q$58)+('9.Инвестиционна програма'!J$78*SUMIF('11.1.Амортиз.нови активи'!$B$11:$B$58,$B119,'11.1.Амортиз.нови активи'!AE$11:AE$58))</f>
        <v>0</v>
      </c>
      <c r="R119" s="900">
        <f>Q119+SUMIF('11.1.Амортиз.нови активи'!$B$11:$B$58,$B119,'11.1.Амортиз.нови активи'!R$11:R$58)+('9.Инвестиционна програма'!K$78*SUMIF('11.1.Амортиз.нови активи'!$B$11:$B$58,$B119,'11.1.Амортиз.нови активи'!AF$11:AF$58))</f>
        <v>0</v>
      </c>
      <c r="S119" s="2169"/>
      <c r="T119" s="898">
        <f>S119+SUMIF('11.1.Амортиз.нови активи'!$B$11:$B$58,$B119,'11.1.Амортиз.нови активи'!T$11:T$58)+('9.Инвестиционна програма'!F$79*SUMIF('11.1.Амортиз.нови активи'!$B$11:$B$58,$B119,'11.1.Амортиз.нови активи'!AA$11:AA$58))</f>
        <v>0</v>
      </c>
      <c r="U119" s="899">
        <f>T119+SUMIF('11.1.Амортиз.нови активи'!$B$11:$B$58,$B119,'11.1.Амортиз.нови активи'!U$11:U$58)+('9.Инвестиционна програма'!G$79*SUMIF('11.1.Амортиз.нови активи'!$B$11:$B$58,$B119,'11.1.Амортиз.нови активи'!AB$11:AB$58))</f>
        <v>0</v>
      </c>
      <c r="V119" s="899">
        <f>U119+SUMIF('11.1.Амортиз.нови активи'!$B$11:$B$58,$B119,'11.1.Амортиз.нови активи'!V$11:V$58)+('9.Инвестиционна програма'!H$79*SUMIF('11.1.Амортиз.нови активи'!$B$11:$B$58,$B119,'11.1.Амортиз.нови активи'!AC$11:AC$58))</f>
        <v>0</v>
      </c>
      <c r="W119" s="899">
        <f>V119+SUMIF('11.1.Амортиз.нови активи'!$B$11:$B$58,$B119,'11.1.Амортиз.нови активи'!W$11:W$58)+('9.Инвестиционна програма'!I$79*SUMIF('11.1.Амортиз.нови активи'!$B$11:$B$58,$B119,'11.1.Амортиз.нови активи'!AD$11:AD$58))</f>
        <v>0</v>
      </c>
      <c r="X119" s="899">
        <f>W119+SUMIF('11.1.Амортиз.нови активи'!$B$11:$B$58,$B119,'11.1.Амортиз.нови активи'!X$11:X$58)+('9.Инвестиционна програма'!J$79*SUMIF('11.1.Амортиз.нови активи'!$B$11:$B$58,$B119,'11.1.Амортиз.нови активи'!AE$11:AE$58))</f>
        <v>0</v>
      </c>
      <c r="Y119" s="900">
        <f>X119+SUMIF('11.1.Амортиз.нови активи'!$B$11:$B$58,$B119,'11.1.Амортиз.нови активи'!Y$11:Y$58)+('9.Инвестиционна програма'!K$79*SUMIF('11.1.Амортиз.нови активи'!$B$11:$B$58,$B119,'11.1.Амортиз.нови активи'!AF$11:AF$58))</f>
        <v>0</v>
      </c>
      <c r="Z119" s="1592"/>
      <c r="AA119" s="1623"/>
      <c r="AB119" s="1647"/>
    </row>
    <row r="120" spans="1:28" s="1563" customFormat="1">
      <c r="A120" s="1650">
        <v>10</v>
      </c>
      <c r="B120" s="1595">
        <v>2040201</v>
      </c>
      <c r="C120" s="1596">
        <v>0.02</v>
      </c>
      <c r="D120" s="1544" t="s">
        <v>1007</v>
      </c>
      <c r="E120" s="2169"/>
      <c r="F120" s="898">
        <f>E120+SUMIF('11.1.Амортиз.нови активи'!$B$11:$B$58,$B120,'11.1.Амортиз.нови активи'!F$11:F$58)+('9.Инвестиционна програма'!F$77*SUMIF('11.1.Амортиз.нови активи'!$B$11:$B$58,$B120,'11.1.Амортиз.нови активи'!AA$11:AA$58))</f>
        <v>0</v>
      </c>
      <c r="G120" s="899">
        <f>F120+SUMIF('11.1.Амортиз.нови активи'!$B$11:$B$58,$B120,'11.1.Амортиз.нови активи'!G$11:G$58)+('9.Инвестиционна програма'!G$77*SUMIF('11.1.Амортиз.нови активи'!$B$11:$B$58,$B120,'11.1.Амортиз.нови активи'!AB$11:AB$58))</f>
        <v>14</v>
      </c>
      <c r="H120" s="899">
        <f>G120+SUMIF('11.1.Амортиз.нови активи'!$B$11:$B$58,$B120,'11.1.Амортиз.нови активи'!H$11:H$58)+('9.Инвестиционна програма'!H$77*SUMIF('11.1.Амортиз.нови активи'!$B$11:$B$58,$B120,'11.1.Амортиз.нови активи'!AC$11:AC$58))</f>
        <v>14</v>
      </c>
      <c r="I120" s="899">
        <f>H120+SUMIF('11.1.Амортиз.нови активи'!$B$11:$B$58,$B120,'11.1.Амортиз.нови активи'!I$11:I$58)+('9.Инвестиционна програма'!I$77*SUMIF('11.1.Амортиз.нови активи'!$B$11:$B$58,$B120,'11.1.Амортиз.нови активи'!AD$11:AD$58))</f>
        <v>14</v>
      </c>
      <c r="J120" s="899">
        <f>I120+SUMIF('11.1.Амортиз.нови активи'!$B$11:$B$58,$B120,'11.1.Амортиз.нови активи'!J$11:J$58)+('9.Инвестиционна програма'!J$77*SUMIF('11.1.Амортиз.нови активи'!$B$11:$B$58,$B120,'11.1.Амортиз.нови активи'!AE$11:AE$58))</f>
        <v>14</v>
      </c>
      <c r="K120" s="900">
        <f>J120+SUMIF('11.1.Амортиз.нови активи'!$B$11:$B$58,$B120,'11.1.Амортиз.нови активи'!K$11:K$58)+('9.Инвестиционна програма'!K$77*SUMIF('11.1.Амортиз.нови активи'!$B$11:$B$58,$B120,'11.1.Амортиз.нови активи'!AF$11:AF$58))</f>
        <v>14</v>
      </c>
      <c r="L120" s="2169"/>
      <c r="M120" s="898">
        <f>L120+SUMIF('11.1.Амортиз.нови активи'!$B$11:$B$58,$B120,'11.1.Амортиз.нови активи'!M$11:M$58)+('9.Инвестиционна програма'!F$78*SUMIF('11.1.Амортиз.нови активи'!$B$11:$B$58,$B120,'11.1.Амортиз.нови активи'!AA$11:AA$58))</f>
        <v>0</v>
      </c>
      <c r="N120" s="899">
        <f>M120+SUMIF('11.1.Амортиз.нови активи'!$B$11:$B$58,$B120,'11.1.Амортиз.нови активи'!N$11:N$58)+('9.Инвестиционна програма'!G$78*SUMIF('11.1.Амортиз.нови активи'!$B$11:$B$58,$B120,'11.1.Амортиз.нови активи'!AB$11:AB$58))</f>
        <v>0</v>
      </c>
      <c r="O120" s="899">
        <f>N120+SUMIF('11.1.Амортиз.нови активи'!$B$11:$B$58,$B120,'11.1.Амортиз.нови активи'!O$11:O$58)+('9.Инвестиционна програма'!H$78*SUMIF('11.1.Амортиз.нови активи'!$B$11:$B$58,$B120,'11.1.Амортиз.нови активи'!AC$11:AC$58))</f>
        <v>0</v>
      </c>
      <c r="P120" s="899">
        <f>O120+SUMIF('11.1.Амортиз.нови активи'!$B$11:$B$58,$B120,'11.1.Амортиз.нови активи'!P$11:P$58)+('9.Инвестиционна програма'!I$78*SUMIF('11.1.Амортиз.нови активи'!$B$11:$B$58,$B120,'11.1.Амортиз.нови активи'!AD$11:AD$58))</f>
        <v>0</v>
      </c>
      <c r="Q120" s="899">
        <f>P120+SUMIF('11.1.Амортиз.нови активи'!$B$11:$B$58,$B120,'11.1.Амортиз.нови активи'!Q$11:Q$58)+('9.Инвестиционна програма'!J$78*SUMIF('11.1.Амортиз.нови активи'!$B$11:$B$58,$B120,'11.1.Амортиз.нови активи'!AE$11:AE$58))</f>
        <v>0</v>
      </c>
      <c r="R120" s="900">
        <f>Q120+SUMIF('11.1.Амортиз.нови активи'!$B$11:$B$58,$B120,'11.1.Амортиз.нови активи'!R$11:R$58)+('9.Инвестиционна програма'!K$78*SUMIF('11.1.Амортиз.нови активи'!$B$11:$B$58,$B120,'11.1.Амортиз.нови активи'!AF$11:AF$58))</f>
        <v>0</v>
      </c>
      <c r="S120" s="2169"/>
      <c r="T120" s="898">
        <f>S120+SUMIF('11.1.Амортиз.нови активи'!$B$11:$B$58,$B120,'11.1.Амортиз.нови активи'!T$11:T$58)+('9.Инвестиционна програма'!F$79*SUMIF('11.1.Амортиз.нови активи'!$B$11:$B$58,$B120,'11.1.Амортиз.нови активи'!AA$11:AA$58))</f>
        <v>0</v>
      </c>
      <c r="U120" s="899">
        <f>T120+SUMIF('11.1.Амортиз.нови активи'!$B$11:$B$58,$B120,'11.1.Амортиз.нови активи'!U$11:U$58)+('9.Инвестиционна програма'!G$79*SUMIF('11.1.Амортиз.нови активи'!$B$11:$B$58,$B120,'11.1.Амортиз.нови активи'!AB$11:AB$58))</f>
        <v>0</v>
      </c>
      <c r="V120" s="899">
        <f>U120+SUMIF('11.1.Амортиз.нови активи'!$B$11:$B$58,$B120,'11.1.Амортиз.нови активи'!V$11:V$58)+('9.Инвестиционна програма'!H$79*SUMIF('11.1.Амортиз.нови активи'!$B$11:$B$58,$B120,'11.1.Амортиз.нови активи'!AC$11:AC$58))</f>
        <v>0</v>
      </c>
      <c r="W120" s="899">
        <f>V120+SUMIF('11.1.Амортиз.нови активи'!$B$11:$B$58,$B120,'11.1.Амортиз.нови активи'!W$11:W$58)+('9.Инвестиционна програма'!I$79*SUMIF('11.1.Амортиз.нови активи'!$B$11:$B$58,$B120,'11.1.Амортиз.нови активи'!AD$11:AD$58))</f>
        <v>0</v>
      </c>
      <c r="X120" s="899">
        <f>W120+SUMIF('11.1.Амортиз.нови активи'!$B$11:$B$58,$B120,'11.1.Амортиз.нови активи'!X$11:X$58)+('9.Инвестиционна програма'!J$79*SUMIF('11.1.Амортиз.нови активи'!$B$11:$B$58,$B120,'11.1.Амортиз.нови активи'!AE$11:AE$58))</f>
        <v>0</v>
      </c>
      <c r="Y120" s="900">
        <f>X120+SUMIF('11.1.Амортиз.нови активи'!$B$11:$B$58,$B120,'11.1.Амортиз.нови активи'!Y$11:Y$58)+('9.Инвестиционна програма'!K$79*SUMIF('11.1.Амортиз.нови активи'!$B$11:$B$58,$B120,'11.1.Амортиз.нови активи'!AF$11:AF$58))</f>
        <v>0</v>
      </c>
      <c r="Z120" s="1592"/>
      <c r="AA120" s="1623"/>
      <c r="AB120" s="1647"/>
    </row>
    <row r="121" spans="1:28" s="1563" customFormat="1">
      <c r="A121" s="1650">
        <v>11</v>
      </c>
      <c r="B121" s="1595">
        <v>2040202</v>
      </c>
      <c r="C121" s="1596">
        <v>0.02</v>
      </c>
      <c r="D121" s="1544" t="s">
        <v>1008</v>
      </c>
      <c r="E121" s="2169"/>
      <c r="F121" s="898">
        <f>E121+SUMIF('11.1.Амортиз.нови активи'!$B$11:$B$58,$B121,'11.1.Амортиз.нови активи'!F$11:F$58)+('9.Инвестиционна програма'!F$77*SUMIF('11.1.Амортиз.нови активи'!$B$11:$B$58,$B121,'11.1.Амортиз.нови активи'!AA$11:AA$58))</f>
        <v>0</v>
      </c>
      <c r="G121" s="899">
        <f>F121+SUMIF('11.1.Амортиз.нови активи'!$B$11:$B$58,$B121,'11.1.Амортиз.нови активи'!G$11:G$58)+('9.Инвестиционна програма'!G$77*SUMIF('11.1.Амортиз.нови активи'!$B$11:$B$58,$B121,'11.1.Амортиз.нови активи'!AB$11:AB$58))</f>
        <v>0</v>
      </c>
      <c r="H121" s="899">
        <f>G121+SUMIF('11.1.Амортиз.нови активи'!$B$11:$B$58,$B121,'11.1.Амортиз.нови активи'!H$11:H$58)+('9.Инвестиционна програма'!H$77*SUMIF('11.1.Амортиз.нови активи'!$B$11:$B$58,$B121,'11.1.Амортиз.нови активи'!AC$11:AC$58))</f>
        <v>2</v>
      </c>
      <c r="I121" s="899">
        <f>H121+SUMIF('11.1.Амортиз.нови активи'!$B$11:$B$58,$B121,'11.1.Амортиз.нови активи'!I$11:I$58)+('9.Инвестиционна програма'!I$77*SUMIF('11.1.Амортиз.нови активи'!$B$11:$B$58,$B121,'11.1.Амортиз.нови активи'!AD$11:AD$58))</f>
        <v>32</v>
      </c>
      <c r="J121" s="899">
        <f>I121+SUMIF('11.1.Амортиз.нови активи'!$B$11:$B$58,$B121,'11.1.Амортиз.нови активи'!J$11:J$58)+('9.Инвестиционна програма'!J$77*SUMIF('11.1.Амортиз.нови активи'!$B$11:$B$58,$B121,'11.1.Амортиз.нови активи'!AE$11:AE$58))</f>
        <v>62</v>
      </c>
      <c r="K121" s="900">
        <f>J121+SUMIF('11.1.Амортиз.нови активи'!$B$11:$B$58,$B121,'11.1.Амортиз.нови активи'!K$11:K$58)+('9.Инвестиционна програма'!K$77*SUMIF('11.1.Амортиз.нови активи'!$B$11:$B$58,$B121,'11.1.Амортиз.нови активи'!AF$11:AF$58))</f>
        <v>92</v>
      </c>
      <c r="L121" s="2169"/>
      <c r="M121" s="898">
        <f>L121+SUMIF('11.1.Амортиз.нови активи'!$B$11:$B$58,$B121,'11.1.Амортиз.нови активи'!M$11:M$58)+('9.Инвестиционна програма'!F$78*SUMIF('11.1.Амортиз.нови активи'!$B$11:$B$58,$B121,'11.1.Амортиз.нови активи'!AA$11:AA$58))</f>
        <v>0</v>
      </c>
      <c r="N121" s="899">
        <f>M121+SUMIF('11.1.Амортиз.нови активи'!$B$11:$B$58,$B121,'11.1.Амортиз.нови активи'!N$11:N$58)+('9.Инвестиционна програма'!G$78*SUMIF('11.1.Амортиз.нови активи'!$B$11:$B$58,$B121,'11.1.Амортиз.нови активи'!AB$11:AB$58))</f>
        <v>0</v>
      </c>
      <c r="O121" s="899">
        <f>N121+SUMIF('11.1.Амортиз.нови активи'!$B$11:$B$58,$B121,'11.1.Амортиз.нови активи'!O$11:O$58)+('9.Инвестиционна програма'!H$78*SUMIF('11.1.Амортиз.нови активи'!$B$11:$B$58,$B121,'11.1.Амортиз.нови активи'!AC$11:AC$58))</f>
        <v>0</v>
      </c>
      <c r="P121" s="899">
        <f>O121+SUMIF('11.1.Амортиз.нови активи'!$B$11:$B$58,$B121,'11.1.Амортиз.нови активи'!P$11:P$58)+('9.Инвестиционна програма'!I$78*SUMIF('11.1.Амортиз.нови активи'!$B$11:$B$58,$B121,'11.1.Амортиз.нови активи'!AD$11:AD$58))</f>
        <v>0</v>
      </c>
      <c r="Q121" s="899">
        <f>P121+SUMIF('11.1.Амортиз.нови активи'!$B$11:$B$58,$B121,'11.1.Амортиз.нови активи'!Q$11:Q$58)+('9.Инвестиционна програма'!J$78*SUMIF('11.1.Амортиз.нови активи'!$B$11:$B$58,$B121,'11.1.Амортиз.нови активи'!AE$11:AE$58))</f>
        <v>0</v>
      </c>
      <c r="R121" s="900">
        <f>Q121+SUMIF('11.1.Амортиз.нови активи'!$B$11:$B$58,$B121,'11.1.Амортиз.нови активи'!R$11:R$58)+('9.Инвестиционна програма'!K$78*SUMIF('11.1.Амортиз.нови активи'!$B$11:$B$58,$B121,'11.1.Амортиз.нови активи'!AF$11:AF$58))</f>
        <v>0</v>
      </c>
      <c r="S121" s="2169"/>
      <c r="T121" s="898">
        <f>S121+SUMIF('11.1.Амортиз.нови активи'!$B$11:$B$58,$B121,'11.1.Амортиз.нови активи'!T$11:T$58)+('9.Инвестиционна програма'!F$79*SUMIF('11.1.Амортиз.нови активи'!$B$11:$B$58,$B121,'11.1.Амортиз.нови активи'!AA$11:AA$58))</f>
        <v>0</v>
      </c>
      <c r="U121" s="899">
        <f>T121+SUMIF('11.1.Амортиз.нови активи'!$B$11:$B$58,$B121,'11.1.Амортиз.нови активи'!U$11:U$58)+('9.Инвестиционна програма'!G$79*SUMIF('11.1.Амортиз.нови активи'!$B$11:$B$58,$B121,'11.1.Амортиз.нови активи'!AB$11:AB$58))</f>
        <v>0</v>
      </c>
      <c r="V121" s="899">
        <f>U121+SUMIF('11.1.Амортиз.нови активи'!$B$11:$B$58,$B121,'11.1.Амортиз.нови активи'!V$11:V$58)+('9.Инвестиционна програма'!H$79*SUMIF('11.1.Амортиз.нови активи'!$B$11:$B$58,$B121,'11.1.Амортиз.нови активи'!AC$11:AC$58))</f>
        <v>0</v>
      </c>
      <c r="W121" s="899">
        <f>V121+SUMIF('11.1.Амортиз.нови активи'!$B$11:$B$58,$B121,'11.1.Амортиз.нови активи'!W$11:W$58)+('9.Инвестиционна програма'!I$79*SUMIF('11.1.Амортиз.нови активи'!$B$11:$B$58,$B121,'11.1.Амортиз.нови активи'!AD$11:AD$58))</f>
        <v>0</v>
      </c>
      <c r="X121" s="899">
        <f>W121+SUMIF('11.1.Амортиз.нови активи'!$B$11:$B$58,$B121,'11.1.Амортиз.нови активи'!X$11:X$58)+('9.Инвестиционна програма'!J$79*SUMIF('11.1.Амортиз.нови активи'!$B$11:$B$58,$B121,'11.1.Амортиз.нови активи'!AE$11:AE$58))</f>
        <v>0</v>
      </c>
      <c r="Y121" s="900">
        <f>X121+SUMIF('11.1.Амортиз.нови активи'!$B$11:$B$58,$B121,'11.1.Амортиз.нови активи'!Y$11:Y$58)+('9.Инвестиционна програма'!K$79*SUMIF('11.1.Амортиз.нови активи'!$B$11:$B$58,$B121,'11.1.Амортиз.нови активи'!AF$11:AF$58))</f>
        <v>0</v>
      </c>
      <c r="Z121" s="1592"/>
      <c r="AA121" s="1623"/>
      <c r="AB121" s="1647"/>
    </row>
    <row r="122" spans="1:28" s="1563" customFormat="1">
      <c r="A122" s="1650">
        <v>12</v>
      </c>
      <c r="B122" s="1595">
        <v>2040203</v>
      </c>
      <c r="C122" s="1596">
        <v>0.02</v>
      </c>
      <c r="D122" s="1544" t="s">
        <v>590</v>
      </c>
      <c r="E122" s="2169"/>
      <c r="F122" s="898">
        <f>E122+SUMIF('11.1.Амортиз.нови активи'!$B$11:$B$58,$B122,'11.1.Амортиз.нови активи'!F$11:F$58)+('9.Инвестиционна програма'!F$77*SUMIF('11.1.Амортиз.нови активи'!$B$11:$B$58,$B122,'11.1.Амортиз.нови активи'!AA$11:AA$58))</f>
        <v>0</v>
      </c>
      <c r="G122" s="899">
        <f>F122+SUMIF('11.1.Амортиз.нови активи'!$B$11:$B$58,$B122,'11.1.Амортиз.нови активи'!G$11:G$58)+('9.Инвестиционна програма'!G$77*SUMIF('11.1.Амортиз.нови активи'!$B$11:$B$58,$B122,'11.1.Амортиз.нови активи'!AB$11:AB$58))</f>
        <v>0</v>
      </c>
      <c r="H122" s="899">
        <f>G122+SUMIF('11.1.Амортиз.нови активи'!$B$11:$B$58,$B122,'11.1.Амортиз.нови активи'!H$11:H$58)+('9.Инвестиционна програма'!H$77*SUMIF('11.1.Амортиз.нови активи'!$B$11:$B$58,$B122,'11.1.Амортиз.нови активи'!AC$11:AC$58))</f>
        <v>0</v>
      </c>
      <c r="I122" s="899">
        <f>H122+SUMIF('11.1.Амортиз.нови активи'!$B$11:$B$58,$B122,'11.1.Амортиз.нови активи'!I$11:I$58)+('9.Инвестиционна програма'!I$77*SUMIF('11.1.Амортиз.нови активи'!$B$11:$B$58,$B122,'11.1.Амортиз.нови активи'!AD$11:AD$58))</f>
        <v>0</v>
      </c>
      <c r="J122" s="899">
        <f>I122+SUMIF('11.1.Амортиз.нови активи'!$B$11:$B$58,$B122,'11.1.Амортиз.нови активи'!J$11:J$58)+('9.Инвестиционна програма'!J$77*SUMIF('11.1.Амортиз.нови активи'!$B$11:$B$58,$B122,'11.1.Амортиз.нови активи'!AE$11:AE$58))</f>
        <v>0</v>
      </c>
      <c r="K122" s="900">
        <f>J122+SUMIF('11.1.Амортиз.нови активи'!$B$11:$B$58,$B122,'11.1.Амортиз.нови активи'!K$11:K$58)+('9.Инвестиционна програма'!K$77*SUMIF('11.1.Амортиз.нови активи'!$B$11:$B$58,$B122,'11.1.Амортиз.нови активи'!AF$11:AF$58))</f>
        <v>0</v>
      </c>
      <c r="L122" s="2169"/>
      <c r="M122" s="898">
        <f>L122+SUMIF('11.1.Амортиз.нови активи'!$B$11:$B$58,$B122,'11.1.Амортиз.нови активи'!M$11:M$58)+('9.Инвестиционна програма'!F$78*SUMIF('11.1.Амортиз.нови активи'!$B$11:$B$58,$B122,'11.1.Амортиз.нови активи'!AA$11:AA$58))</f>
        <v>0</v>
      </c>
      <c r="N122" s="899">
        <f>M122+SUMIF('11.1.Амортиз.нови активи'!$B$11:$B$58,$B122,'11.1.Амортиз.нови активи'!N$11:N$58)+('9.Инвестиционна програма'!G$78*SUMIF('11.1.Амортиз.нови активи'!$B$11:$B$58,$B122,'11.1.Амортиз.нови активи'!AB$11:AB$58))</f>
        <v>0</v>
      </c>
      <c r="O122" s="899">
        <f>N122+SUMIF('11.1.Амортиз.нови активи'!$B$11:$B$58,$B122,'11.1.Амортиз.нови активи'!O$11:O$58)+('9.Инвестиционна програма'!H$78*SUMIF('11.1.Амортиз.нови активи'!$B$11:$B$58,$B122,'11.1.Амортиз.нови активи'!AC$11:AC$58))</f>
        <v>0</v>
      </c>
      <c r="P122" s="899">
        <f>O122+SUMIF('11.1.Амортиз.нови активи'!$B$11:$B$58,$B122,'11.1.Амортиз.нови активи'!P$11:P$58)+('9.Инвестиционна програма'!I$78*SUMIF('11.1.Амортиз.нови активи'!$B$11:$B$58,$B122,'11.1.Амортиз.нови активи'!AD$11:AD$58))</f>
        <v>0</v>
      </c>
      <c r="Q122" s="899">
        <f>P122+SUMIF('11.1.Амортиз.нови активи'!$B$11:$B$58,$B122,'11.1.Амортиз.нови активи'!Q$11:Q$58)+('9.Инвестиционна програма'!J$78*SUMIF('11.1.Амортиз.нови активи'!$B$11:$B$58,$B122,'11.1.Амортиз.нови активи'!AE$11:AE$58))</f>
        <v>0</v>
      </c>
      <c r="R122" s="900">
        <f>Q122+SUMIF('11.1.Амортиз.нови активи'!$B$11:$B$58,$B122,'11.1.Амортиз.нови активи'!R$11:R$58)+('9.Инвестиционна програма'!K$78*SUMIF('11.1.Амортиз.нови активи'!$B$11:$B$58,$B122,'11.1.Амортиз.нови активи'!AF$11:AF$58))</f>
        <v>0</v>
      </c>
      <c r="S122" s="2169"/>
      <c r="T122" s="898">
        <f>S122+SUMIF('11.1.Амортиз.нови активи'!$B$11:$B$58,$B122,'11.1.Амортиз.нови активи'!T$11:T$58)+('9.Инвестиционна програма'!F$79*SUMIF('11.1.Амортиз.нови активи'!$B$11:$B$58,$B122,'11.1.Амортиз.нови активи'!AA$11:AA$58))</f>
        <v>0</v>
      </c>
      <c r="U122" s="899">
        <f>T122+SUMIF('11.1.Амортиз.нови активи'!$B$11:$B$58,$B122,'11.1.Амортиз.нови активи'!U$11:U$58)+('9.Инвестиционна програма'!G$79*SUMIF('11.1.Амортиз.нови активи'!$B$11:$B$58,$B122,'11.1.Амортиз.нови активи'!AB$11:AB$58))</f>
        <v>0</v>
      </c>
      <c r="V122" s="899">
        <f>U122+SUMIF('11.1.Амортиз.нови активи'!$B$11:$B$58,$B122,'11.1.Амортиз.нови активи'!V$11:V$58)+('9.Инвестиционна програма'!H$79*SUMIF('11.1.Амортиз.нови активи'!$B$11:$B$58,$B122,'11.1.Амортиз.нови активи'!AC$11:AC$58))</f>
        <v>0</v>
      </c>
      <c r="W122" s="899">
        <f>V122+SUMIF('11.1.Амортиз.нови активи'!$B$11:$B$58,$B122,'11.1.Амортиз.нови активи'!W$11:W$58)+('9.Инвестиционна програма'!I$79*SUMIF('11.1.Амортиз.нови активи'!$B$11:$B$58,$B122,'11.1.Амортиз.нови активи'!AD$11:AD$58))</f>
        <v>0</v>
      </c>
      <c r="X122" s="899">
        <f>W122+SUMIF('11.1.Амортиз.нови активи'!$B$11:$B$58,$B122,'11.1.Амортиз.нови активи'!X$11:X$58)+('9.Инвестиционна програма'!J$79*SUMIF('11.1.Амортиз.нови активи'!$B$11:$B$58,$B122,'11.1.Амортиз.нови активи'!AE$11:AE$58))</f>
        <v>0</v>
      </c>
      <c r="Y122" s="900">
        <f>X122+SUMIF('11.1.Амортиз.нови активи'!$B$11:$B$58,$B122,'11.1.Амортиз.нови активи'!Y$11:Y$58)+('9.Инвестиционна програма'!K$79*SUMIF('11.1.Амортиз.нови активи'!$B$11:$B$58,$B122,'11.1.Амортиз.нови активи'!AF$11:AF$58))</f>
        <v>0</v>
      </c>
      <c r="Z122" s="1592"/>
      <c r="AA122" s="1623"/>
      <c r="AB122" s="1647"/>
    </row>
    <row r="123" spans="1:28" s="1563" customFormat="1">
      <c r="A123" s="1650">
        <v>13</v>
      </c>
      <c r="B123" s="1595">
        <v>2040204</v>
      </c>
      <c r="C123" s="1596">
        <v>0.02</v>
      </c>
      <c r="D123" s="1558" t="s">
        <v>591</v>
      </c>
      <c r="E123" s="2169"/>
      <c r="F123" s="898">
        <f>E123+SUMIF('11.1.Амортиз.нови активи'!$B$11:$B$58,$B123,'11.1.Амортиз.нови активи'!F$11:F$58)+('9.Инвестиционна програма'!F$77*SUMIF('11.1.Амортиз.нови активи'!$B$11:$B$58,$B123,'11.1.Амортиз.нови активи'!AA$11:AA$58))</f>
        <v>0</v>
      </c>
      <c r="G123" s="899">
        <f>F123+SUMIF('11.1.Амортиз.нови активи'!$B$11:$B$58,$B123,'11.1.Амортиз.нови активи'!G$11:G$58)+('9.Инвестиционна програма'!G$77*SUMIF('11.1.Амортиз.нови активи'!$B$11:$B$58,$B123,'11.1.Амортиз.нови активи'!AB$11:AB$58))</f>
        <v>0</v>
      </c>
      <c r="H123" s="899">
        <f>G123+SUMIF('11.1.Амортиз.нови активи'!$B$11:$B$58,$B123,'11.1.Амортиз.нови активи'!H$11:H$58)+('9.Инвестиционна програма'!H$77*SUMIF('11.1.Амортиз.нови активи'!$B$11:$B$58,$B123,'11.1.Амортиз.нови активи'!AC$11:AC$58))</f>
        <v>0</v>
      </c>
      <c r="I123" s="899">
        <f>H123+SUMIF('11.1.Амортиз.нови активи'!$B$11:$B$58,$B123,'11.1.Амортиз.нови активи'!I$11:I$58)+('9.Инвестиционна програма'!I$77*SUMIF('11.1.Амортиз.нови активи'!$B$11:$B$58,$B123,'11.1.Амортиз.нови активи'!AD$11:AD$58))</f>
        <v>20</v>
      </c>
      <c r="J123" s="899">
        <f>I123+SUMIF('11.1.Амортиз.нови активи'!$B$11:$B$58,$B123,'11.1.Амортиз.нови активи'!J$11:J$58)+('9.Инвестиционна програма'!J$77*SUMIF('11.1.Амортиз.нови активи'!$B$11:$B$58,$B123,'11.1.Амортиз.нови активи'!AE$11:AE$58))</f>
        <v>40</v>
      </c>
      <c r="K123" s="900">
        <f>J123+SUMIF('11.1.Амортиз.нови активи'!$B$11:$B$58,$B123,'11.1.Амортиз.нови активи'!K$11:K$58)+('9.Инвестиционна програма'!K$77*SUMIF('11.1.Амортиз.нови активи'!$B$11:$B$58,$B123,'11.1.Амортиз.нови активи'!AF$11:AF$58))</f>
        <v>60</v>
      </c>
      <c r="L123" s="2169"/>
      <c r="M123" s="898">
        <f>L123+SUMIF('11.1.Амортиз.нови активи'!$B$11:$B$58,$B123,'11.1.Амортиз.нови активи'!M$11:M$58)+('9.Инвестиционна програма'!F$78*SUMIF('11.1.Амортиз.нови активи'!$B$11:$B$58,$B123,'11.1.Амортиз.нови активи'!AA$11:AA$58))</f>
        <v>0</v>
      </c>
      <c r="N123" s="899">
        <f>M123+SUMIF('11.1.Амортиз.нови активи'!$B$11:$B$58,$B123,'11.1.Амортиз.нови активи'!N$11:N$58)+('9.Инвестиционна програма'!G$78*SUMIF('11.1.Амортиз.нови активи'!$B$11:$B$58,$B123,'11.1.Амортиз.нови активи'!AB$11:AB$58))</f>
        <v>0</v>
      </c>
      <c r="O123" s="899">
        <f>N123+SUMIF('11.1.Амортиз.нови активи'!$B$11:$B$58,$B123,'11.1.Амортиз.нови активи'!O$11:O$58)+('9.Инвестиционна програма'!H$78*SUMIF('11.1.Амортиз.нови активи'!$B$11:$B$58,$B123,'11.1.Амортиз.нови активи'!AC$11:AC$58))</f>
        <v>0</v>
      </c>
      <c r="P123" s="899">
        <f>O123+SUMIF('11.1.Амортиз.нови активи'!$B$11:$B$58,$B123,'11.1.Амортиз.нови активи'!P$11:P$58)+('9.Инвестиционна програма'!I$78*SUMIF('11.1.Амортиз.нови активи'!$B$11:$B$58,$B123,'11.1.Амортиз.нови активи'!AD$11:AD$58))</f>
        <v>0</v>
      </c>
      <c r="Q123" s="899">
        <f>P123+SUMIF('11.1.Амортиз.нови активи'!$B$11:$B$58,$B123,'11.1.Амортиз.нови активи'!Q$11:Q$58)+('9.Инвестиционна програма'!J$78*SUMIF('11.1.Амортиз.нови активи'!$B$11:$B$58,$B123,'11.1.Амортиз.нови активи'!AE$11:AE$58))</f>
        <v>0</v>
      </c>
      <c r="R123" s="900">
        <f>Q123+SUMIF('11.1.Амортиз.нови активи'!$B$11:$B$58,$B123,'11.1.Амортиз.нови активи'!R$11:R$58)+('9.Инвестиционна програма'!K$78*SUMIF('11.1.Амортиз.нови активи'!$B$11:$B$58,$B123,'11.1.Амортиз.нови активи'!AF$11:AF$58))</f>
        <v>0</v>
      </c>
      <c r="S123" s="2169"/>
      <c r="T123" s="898">
        <f>S123+SUMIF('11.1.Амортиз.нови активи'!$B$11:$B$58,$B123,'11.1.Амортиз.нови активи'!T$11:T$58)+('9.Инвестиционна програма'!F$79*SUMIF('11.1.Амортиз.нови активи'!$B$11:$B$58,$B123,'11.1.Амортиз.нови активи'!AA$11:AA$58))</f>
        <v>0</v>
      </c>
      <c r="U123" s="899">
        <f>T123+SUMIF('11.1.Амортиз.нови активи'!$B$11:$B$58,$B123,'11.1.Амортиз.нови активи'!U$11:U$58)+('9.Инвестиционна програма'!G$79*SUMIF('11.1.Амортиз.нови активи'!$B$11:$B$58,$B123,'11.1.Амортиз.нови активи'!AB$11:AB$58))</f>
        <v>0</v>
      </c>
      <c r="V123" s="899">
        <f>U123+SUMIF('11.1.Амортиз.нови активи'!$B$11:$B$58,$B123,'11.1.Амортиз.нови активи'!V$11:V$58)+('9.Инвестиционна програма'!H$79*SUMIF('11.1.Амортиз.нови активи'!$B$11:$B$58,$B123,'11.1.Амортиз.нови активи'!AC$11:AC$58))</f>
        <v>0</v>
      </c>
      <c r="W123" s="899">
        <f>V123+SUMIF('11.1.Амортиз.нови активи'!$B$11:$B$58,$B123,'11.1.Амортиз.нови активи'!W$11:W$58)+('9.Инвестиционна програма'!I$79*SUMIF('11.1.Амортиз.нови активи'!$B$11:$B$58,$B123,'11.1.Амортиз.нови активи'!AD$11:AD$58))</f>
        <v>0</v>
      </c>
      <c r="X123" s="899">
        <f>W123+SUMIF('11.1.Амортиз.нови активи'!$B$11:$B$58,$B123,'11.1.Амортиз.нови активи'!X$11:X$58)+('9.Инвестиционна програма'!J$79*SUMIF('11.1.Амортиз.нови активи'!$B$11:$B$58,$B123,'11.1.Амортиз.нови активи'!AE$11:AE$58))</f>
        <v>0</v>
      </c>
      <c r="Y123" s="900">
        <f>X123+SUMIF('11.1.Амортиз.нови активи'!$B$11:$B$58,$B123,'11.1.Амортиз.нови активи'!Y$11:Y$58)+('9.Инвестиционна програма'!K$79*SUMIF('11.1.Амортиз.нови активи'!$B$11:$B$58,$B123,'11.1.Амортиз.нови активи'!AF$11:AF$58))</f>
        <v>0</v>
      </c>
      <c r="Z123" s="1592"/>
      <c r="AA123" s="1623"/>
      <c r="AB123" s="1647"/>
    </row>
    <row r="124" spans="1:28" s="1563" customFormat="1">
      <c r="A124" s="1650">
        <v>14</v>
      </c>
      <c r="B124" s="1595">
        <v>2040205</v>
      </c>
      <c r="C124" s="1596">
        <v>0.02</v>
      </c>
      <c r="D124" s="1544" t="s">
        <v>592</v>
      </c>
      <c r="E124" s="2169"/>
      <c r="F124" s="898">
        <f>E124+SUMIF('11.1.Амортиз.нови активи'!$B$11:$B$58,$B124,'11.1.Амортиз.нови активи'!F$11:F$58)+('9.Инвестиционна програма'!F$77*SUMIF('11.1.Амортиз.нови активи'!$B$11:$B$58,$B124,'11.1.Амортиз.нови активи'!AA$11:AA$58))</f>
        <v>1210</v>
      </c>
      <c r="G124" s="899">
        <f>F124+SUMIF('11.1.Амортиз.нови активи'!$B$11:$B$58,$B124,'11.1.Амортиз.нови активи'!G$11:G$58)+('9.Инвестиционна програма'!G$77*SUMIF('11.1.Амортиз.нови активи'!$B$11:$B$58,$B124,'11.1.Амортиз.нови активи'!AB$11:AB$58))</f>
        <v>1982</v>
      </c>
      <c r="H124" s="899">
        <f>G124+SUMIF('11.1.Амортиз.нови активи'!$B$11:$B$58,$B124,'11.1.Амортиз.нови активи'!H$11:H$58)+('9.Инвестиционна програма'!H$77*SUMIF('11.1.Амортиз.нови активи'!$B$11:$B$58,$B124,'11.1.Амортиз.нови активи'!AC$11:AC$58))</f>
        <v>3319</v>
      </c>
      <c r="I124" s="899">
        <f>H124+SUMIF('11.1.Амортиз.нови активи'!$B$11:$B$58,$B124,'11.1.Амортиз.нови активи'!I$11:I$58)+('9.Инвестиционна програма'!I$77*SUMIF('11.1.Амортиз.нови активи'!$B$11:$B$58,$B124,'11.1.Амортиз.нови активи'!AD$11:AD$58))</f>
        <v>4375</v>
      </c>
      <c r="J124" s="899">
        <f>I124+SUMIF('11.1.Амортиз.нови активи'!$B$11:$B$58,$B124,'11.1.Амортиз.нови активи'!J$11:J$58)+('9.Инвестиционна програма'!J$77*SUMIF('11.1.Амортиз.нови активи'!$B$11:$B$58,$B124,'11.1.Амортиз.нови активи'!AE$11:AE$58))</f>
        <v>5646</v>
      </c>
      <c r="K124" s="900">
        <f>J124+SUMIF('11.1.Амортиз.нови активи'!$B$11:$B$58,$B124,'11.1.Амортиз.нови активи'!K$11:K$58)+('9.Инвестиционна програма'!K$77*SUMIF('11.1.Амортиз.нови активи'!$B$11:$B$58,$B124,'11.1.Амортиз.нови активи'!AF$11:AF$58))</f>
        <v>6712</v>
      </c>
      <c r="L124" s="2169"/>
      <c r="M124" s="898">
        <f>L124+SUMIF('11.1.Амортиз.нови активи'!$B$11:$B$58,$B124,'11.1.Амортиз.нови активи'!M$11:M$58)+('9.Инвестиционна програма'!F$78*SUMIF('11.1.Амортиз.нови активи'!$B$11:$B$58,$B124,'11.1.Амортиз.нови активи'!AA$11:AA$58))</f>
        <v>0</v>
      </c>
      <c r="N124" s="899">
        <f>M124+SUMIF('11.1.Амортиз.нови активи'!$B$11:$B$58,$B124,'11.1.Амортиз.нови активи'!N$11:N$58)+('9.Инвестиционна програма'!G$78*SUMIF('11.1.Амортиз.нови активи'!$B$11:$B$58,$B124,'11.1.Амортиз.нови активи'!AB$11:AB$58))</f>
        <v>0</v>
      </c>
      <c r="O124" s="899">
        <f>N124+SUMIF('11.1.Амортиз.нови активи'!$B$11:$B$58,$B124,'11.1.Амортиз.нови активи'!O$11:O$58)+('9.Инвестиционна програма'!H$78*SUMIF('11.1.Амортиз.нови активи'!$B$11:$B$58,$B124,'11.1.Амортиз.нови активи'!AC$11:AC$58))</f>
        <v>0</v>
      </c>
      <c r="P124" s="899">
        <f>O124+SUMIF('11.1.Амортиз.нови активи'!$B$11:$B$58,$B124,'11.1.Амортиз.нови активи'!P$11:P$58)+('9.Инвестиционна програма'!I$78*SUMIF('11.1.Амортиз.нови активи'!$B$11:$B$58,$B124,'11.1.Амортиз.нови активи'!AD$11:AD$58))</f>
        <v>0</v>
      </c>
      <c r="Q124" s="899">
        <f>P124+SUMIF('11.1.Амортиз.нови активи'!$B$11:$B$58,$B124,'11.1.Амортиз.нови активи'!Q$11:Q$58)+('9.Инвестиционна програма'!J$78*SUMIF('11.1.Амортиз.нови активи'!$B$11:$B$58,$B124,'11.1.Амортиз.нови активи'!AE$11:AE$58))</f>
        <v>0</v>
      </c>
      <c r="R124" s="900">
        <f>Q124+SUMIF('11.1.Амортиз.нови активи'!$B$11:$B$58,$B124,'11.1.Амортиз.нови активи'!R$11:R$58)+('9.Инвестиционна програма'!K$78*SUMIF('11.1.Амортиз.нови активи'!$B$11:$B$58,$B124,'11.1.Амортиз.нови активи'!AF$11:AF$58))</f>
        <v>0</v>
      </c>
      <c r="S124" s="2169"/>
      <c r="T124" s="898">
        <f>S124+SUMIF('11.1.Амортиз.нови активи'!$B$11:$B$58,$B124,'11.1.Амортиз.нови активи'!T$11:T$58)+('9.Инвестиционна програма'!F$79*SUMIF('11.1.Амортиз.нови активи'!$B$11:$B$58,$B124,'11.1.Амортиз.нови активи'!AA$11:AA$58))</f>
        <v>0</v>
      </c>
      <c r="U124" s="899">
        <f>T124+SUMIF('11.1.Амортиз.нови активи'!$B$11:$B$58,$B124,'11.1.Амортиз.нови активи'!U$11:U$58)+('9.Инвестиционна програма'!G$79*SUMIF('11.1.Амортиз.нови активи'!$B$11:$B$58,$B124,'11.1.Амортиз.нови активи'!AB$11:AB$58))</f>
        <v>0</v>
      </c>
      <c r="V124" s="899">
        <f>U124+SUMIF('11.1.Амортиз.нови активи'!$B$11:$B$58,$B124,'11.1.Амортиз.нови активи'!V$11:V$58)+('9.Инвестиционна програма'!H$79*SUMIF('11.1.Амортиз.нови активи'!$B$11:$B$58,$B124,'11.1.Амортиз.нови активи'!AC$11:AC$58))</f>
        <v>0</v>
      </c>
      <c r="W124" s="899">
        <f>V124+SUMIF('11.1.Амортиз.нови активи'!$B$11:$B$58,$B124,'11.1.Амортиз.нови активи'!W$11:W$58)+('9.Инвестиционна програма'!I$79*SUMIF('11.1.Амортиз.нови активи'!$B$11:$B$58,$B124,'11.1.Амортиз.нови активи'!AD$11:AD$58))</f>
        <v>0</v>
      </c>
      <c r="X124" s="899">
        <f>W124+SUMIF('11.1.Амортиз.нови активи'!$B$11:$B$58,$B124,'11.1.Амортиз.нови активи'!X$11:X$58)+('9.Инвестиционна програма'!J$79*SUMIF('11.1.Амортиз.нови активи'!$B$11:$B$58,$B124,'11.1.Амортиз.нови активи'!AE$11:AE$58))</f>
        <v>0</v>
      </c>
      <c r="Y124" s="900">
        <f>X124+SUMIF('11.1.Амортиз.нови активи'!$B$11:$B$58,$B124,'11.1.Амортиз.нови активи'!Y$11:Y$58)+('9.Инвестиционна програма'!K$79*SUMIF('11.1.Амортиз.нови активи'!$B$11:$B$58,$B124,'11.1.Амортиз.нови активи'!AF$11:AF$58))</f>
        <v>0</v>
      </c>
      <c r="Z124" s="1592"/>
      <c r="AA124" s="1623"/>
      <c r="AB124" s="1647"/>
    </row>
    <row r="125" spans="1:28" s="1563" customFormat="1">
      <c r="A125" s="1650">
        <v>15</v>
      </c>
      <c r="B125" s="1595">
        <v>2040206</v>
      </c>
      <c r="C125" s="1596">
        <v>0.02</v>
      </c>
      <c r="D125" s="1546" t="s">
        <v>593</v>
      </c>
      <c r="E125" s="2169"/>
      <c r="F125" s="898">
        <f>E125+SUMIF('11.1.Амортиз.нови активи'!$B$11:$B$58,$B125,'11.1.Амортиз.нови активи'!F$11:F$58)+('9.Инвестиционна програма'!F$77*SUMIF('11.1.Амортиз.нови активи'!$B$11:$B$58,$B125,'11.1.Амортиз.нови активи'!AA$11:AA$58))</f>
        <v>0</v>
      </c>
      <c r="G125" s="899">
        <f>F125+SUMIF('11.1.Амортиз.нови активи'!$B$11:$B$58,$B125,'11.1.Амортиз.нови активи'!G$11:G$58)+('9.Инвестиционна програма'!G$77*SUMIF('11.1.Амортиз.нови активи'!$B$11:$B$58,$B125,'11.1.Амортиз.нови активи'!AB$11:AB$58))</f>
        <v>0</v>
      </c>
      <c r="H125" s="899">
        <f>G125+SUMIF('11.1.Амортиз.нови активи'!$B$11:$B$58,$B125,'11.1.Амортиз.нови активи'!H$11:H$58)+('9.Инвестиционна програма'!H$77*SUMIF('11.1.Амортиз.нови активи'!$B$11:$B$58,$B125,'11.1.Амортиз.нови активи'!AC$11:AC$58))</f>
        <v>0</v>
      </c>
      <c r="I125" s="899">
        <f>H125+SUMIF('11.1.Амортиз.нови активи'!$B$11:$B$58,$B125,'11.1.Амортиз.нови активи'!I$11:I$58)+('9.Инвестиционна програма'!I$77*SUMIF('11.1.Амортиз.нови активи'!$B$11:$B$58,$B125,'11.1.Амортиз.нови активи'!AD$11:AD$58))</f>
        <v>0</v>
      </c>
      <c r="J125" s="899">
        <f>I125+SUMIF('11.1.Амортиз.нови активи'!$B$11:$B$58,$B125,'11.1.Амортиз.нови активи'!J$11:J$58)+('9.Инвестиционна програма'!J$77*SUMIF('11.1.Амортиз.нови активи'!$B$11:$B$58,$B125,'11.1.Амортиз.нови активи'!AE$11:AE$58))</f>
        <v>0</v>
      </c>
      <c r="K125" s="900">
        <f>J125+SUMIF('11.1.Амортиз.нови активи'!$B$11:$B$58,$B125,'11.1.Амортиз.нови активи'!K$11:K$58)+('9.Инвестиционна програма'!K$77*SUMIF('11.1.Амортиз.нови активи'!$B$11:$B$58,$B125,'11.1.Амортиз.нови активи'!AF$11:AF$58))</f>
        <v>0</v>
      </c>
      <c r="L125" s="2169"/>
      <c r="M125" s="898">
        <f>L125+SUMIF('11.1.Амортиз.нови активи'!$B$11:$B$58,$B125,'11.1.Амортиз.нови активи'!M$11:M$58)+('9.Инвестиционна програма'!F$78*SUMIF('11.1.Амортиз.нови активи'!$B$11:$B$58,$B125,'11.1.Амортиз.нови активи'!AA$11:AA$58))</f>
        <v>84</v>
      </c>
      <c r="N125" s="899">
        <f>M125+SUMIF('11.1.Амортиз.нови активи'!$B$11:$B$58,$B125,'11.1.Амортиз.нови активи'!N$11:N$58)+('9.Инвестиционна програма'!G$78*SUMIF('11.1.Амортиз.нови активи'!$B$11:$B$58,$B125,'11.1.Амортиз.нови активи'!AB$11:AB$58))</f>
        <v>84</v>
      </c>
      <c r="O125" s="899">
        <f>N125+SUMIF('11.1.Амортиз.нови активи'!$B$11:$B$58,$B125,'11.1.Амортиз.нови активи'!O$11:O$58)+('9.Инвестиционна програма'!H$78*SUMIF('11.1.Амортиз.нови активи'!$B$11:$B$58,$B125,'11.1.Амортиз.нови активи'!AC$11:AC$58))</f>
        <v>239</v>
      </c>
      <c r="P125" s="899">
        <f>O125+SUMIF('11.1.Амортиз.нови активи'!$B$11:$B$58,$B125,'11.1.Амортиз.нови активи'!P$11:P$58)+('9.Инвестиционна програма'!I$78*SUMIF('11.1.Амортиз.нови активи'!$B$11:$B$58,$B125,'11.1.Амортиз.нови активи'!AD$11:AD$58))</f>
        <v>749</v>
      </c>
      <c r="Q125" s="899">
        <f>P125+SUMIF('11.1.Амортиз.нови активи'!$B$11:$B$58,$B125,'11.1.Амортиз.нови активи'!Q$11:Q$58)+('9.Инвестиционна програма'!J$78*SUMIF('11.1.Амортиз.нови активи'!$B$11:$B$58,$B125,'11.1.Амортиз.нови активи'!AE$11:AE$58))</f>
        <v>1524</v>
      </c>
      <c r="R125" s="900">
        <f>Q125+SUMIF('11.1.Амортиз.нови активи'!$B$11:$B$58,$B125,'11.1.Амортиз.нови активи'!R$11:R$58)+('9.Инвестиционна програма'!K$78*SUMIF('11.1.Амортиз.нови активи'!$B$11:$B$58,$B125,'11.1.Амортиз.нови активи'!AF$11:AF$58))</f>
        <v>2299</v>
      </c>
      <c r="S125" s="2169"/>
      <c r="T125" s="898">
        <f>S125+SUMIF('11.1.Амортиз.нови активи'!$B$11:$B$58,$B125,'11.1.Амортиз.нови активи'!T$11:T$58)+('9.Инвестиционна програма'!F$79*SUMIF('11.1.Амортиз.нови активи'!$B$11:$B$58,$B125,'11.1.Амортиз.нови активи'!AA$11:AA$58))</f>
        <v>0</v>
      </c>
      <c r="U125" s="899">
        <f>T125+SUMIF('11.1.Амортиз.нови активи'!$B$11:$B$58,$B125,'11.1.Амортиз.нови активи'!U$11:U$58)+('9.Инвестиционна програма'!G$79*SUMIF('11.1.Амортиз.нови активи'!$B$11:$B$58,$B125,'11.1.Амортиз.нови активи'!AB$11:AB$58))</f>
        <v>0</v>
      </c>
      <c r="V125" s="899">
        <f>U125+SUMIF('11.1.Амортиз.нови активи'!$B$11:$B$58,$B125,'11.1.Амортиз.нови активи'!V$11:V$58)+('9.Инвестиционна програма'!H$79*SUMIF('11.1.Амортиз.нови активи'!$B$11:$B$58,$B125,'11.1.Амортиз.нови активи'!AC$11:AC$58))</f>
        <v>0</v>
      </c>
      <c r="W125" s="899">
        <f>V125+SUMIF('11.1.Амортиз.нови активи'!$B$11:$B$58,$B125,'11.1.Амортиз.нови активи'!W$11:W$58)+('9.Инвестиционна програма'!I$79*SUMIF('11.1.Амортиз.нови активи'!$B$11:$B$58,$B125,'11.1.Амортиз.нови активи'!AD$11:AD$58))</f>
        <v>0</v>
      </c>
      <c r="X125" s="899">
        <f>W125+SUMIF('11.1.Амортиз.нови активи'!$B$11:$B$58,$B125,'11.1.Амортиз.нови активи'!X$11:X$58)+('9.Инвестиционна програма'!J$79*SUMIF('11.1.Амортиз.нови активи'!$B$11:$B$58,$B125,'11.1.Амортиз.нови активи'!AE$11:AE$58))</f>
        <v>0</v>
      </c>
      <c r="Y125" s="900">
        <f>X125+SUMIF('11.1.Амортиз.нови активи'!$B$11:$B$58,$B125,'11.1.Амортиз.нови активи'!Y$11:Y$58)+('9.Инвестиционна програма'!K$79*SUMIF('11.1.Амортиз.нови активи'!$B$11:$B$58,$B125,'11.1.Амортиз.нови активи'!AF$11:AF$58))</f>
        <v>0</v>
      </c>
      <c r="Z125" s="1592"/>
      <c r="AA125" s="1623"/>
      <c r="AB125" s="1647"/>
    </row>
    <row r="126" spans="1:28" s="1563" customFormat="1" ht="24">
      <c r="A126" s="1650">
        <v>16</v>
      </c>
      <c r="B126" s="1595">
        <v>2040207</v>
      </c>
      <c r="C126" s="1596">
        <v>0.04</v>
      </c>
      <c r="D126" s="1546" t="s">
        <v>594</v>
      </c>
      <c r="E126" s="2169"/>
      <c r="F126" s="898">
        <f>E126+SUMIF('11.1.Амортиз.нови активи'!$B$11:$B$58,$B126,'11.1.Амортиз.нови активи'!F$11:F$58)+('9.Инвестиционна програма'!F$77*SUMIF('11.1.Амортиз.нови активи'!$B$11:$B$58,$B126,'11.1.Амортиз.нови активи'!AA$11:AA$58))</f>
        <v>773</v>
      </c>
      <c r="G126" s="899">
        <f>F126+SUMIF('11.1.Амортиз.нови активи'!$B$11:$B$58,$B126,'11.1.Амортиз.нови активи'!G$11:G$58)+('9.Инвестиционна програма'!G$77*SUMIF('11.1.Амортиз.нови активи'!$B$11:$B$58,$B126,'11.1.Амортиз.нови активи'!AB$11:AB$58))</f>
        <v>1120</v>
      </c>
      <c r="H126" s="899">
        <f>G126+SUMIF('11.1.Амортиз.нови активи'!$B$11:$B$58,$B126,'11.1.Амортиз.нови активи'!H$11:H$58)+('9.Инвестиционна програма'!H$77*SUMIF('11.1.Амортиз.нови активи'!$B$11:$B$58,$B126,'11.1.Амортиз.нови активи'!AC$11:AC$58))</f>
        <v>1223</v>
      </c>
      <c r="I126" s="899">
        <f>H126+SUMIF('11.1.Амортиз.нови активи'!$B$11:$B$58,$B126,'11.1.Амортиз.нови активи'!I$11:I$58)+('9.Инвестиционна програма'!I$77*SUMIF('11.1.Амортиз.нови активи'!$B$11:$B$58,$B126,'11.1.Амортиз.нови активи'!AD$11:AD$58))</f>
        <v>1536</v>
      </c>
      <c r="J126" s="899">
        <f>I126+SUMIF('11.1.Амортиз.нови активи'!$B$11:$B$58,$B126,'11.1.Амортиз.нови активи'!J$11:J$58)+('9.Инвестиционна програма'!J$77*SUMIF('11.1.Амортиз.нови активи'!$B$11:$B$58,$B126,'11.1.Амортиз.нови активи'!AE$11:AE$58))</f>
        <v>1820</v>
      </c>
      <c r="K126" s="900">
        <f>J126+SUMIF('11.1.Амортиз.нови активи'!$B$11:$B$58,$B126,'11.1.Амортиз.нови активи'!K$11:K$58)+('9.Инвестиционна програма'!K$77*SUMIF('11.1.Амортиз.нови активи'!$B$11:$B$58,$B126,'11.1.Амортиз.нови активи'!AF$11:AF$58))</f>
        <v>2104</v>
      </c>
      <c r="L126" s="2169"/>
      <c r="M126" s="898">
        <f>L126+SUMIF('11.1.Амортиз.нови активи'!$B$11:$B$58,$B126,'11.1.Амортиз.нови активи'!M$11:M$58)+('9.Инвестиционна програма'!F$78*SUMIF('11.1.Амортиз.нови активи'!$B$11:$B$58,$B126,'11.1.Амортиз.нови активи'!AA$11:AA$58))</f>
        <v>0</v>
      </c>
      <c r="N126" s="899">
        <f>M126+SUMIF('11.1.Амортиз.нови активи'!$B$11:$B$58,$B126,'11.1.Амортиз.нови активи'!N$11:N$58)+('9.Инвестиционна програма'!G$78*SUMIF('11.1.Амортиз.нови активи'!$B$11:$B$58,$B126,'11.1.Амортиз.нови активи'!AB$11:AB$58))</f>
        <v>0</v>
      </c>
      <c r="O126" s="899">
        <f>N126+SUMIF('11.1.Амортиз.нови активи'!$B$11:$B$58,$B126,'11.1.Амортиз.нови активи'!O$11:O$58)+('9.Инвестиционна програма'!H$78*SUMIF('11.1.Амортиз.нови активи'!$B$11:$B$58,$B126,'11.1.Амортиз.нови активи'!AC$11:AC$58))</f>
        <v>0</v>
      </c>
      <c r="P126" s="899">
        <f>O126+SUMIF('11.1.Амортиз.нови активи'!$B$11:$B$58,$B126,'11.1.Амортиз.нови активи'!P$11:P$58)+('9.Инвестиционна програма'!I$78*SUMIF('11.1.Амортиз.нови активи'!$B$11:$B$58,$B126,'11.1.Амортиз.нови активи'!AD$11:AD$58))</f>
        <v>0</v>
      </c>
      <c r="Q126" s="899">
        <f>P126+SUMIF('11.1.Амортиз.нови активи'!$B$11:$B$58,$B126,'11.1.Амортиз.нови активи'!Q$11:Q$58)+('9.Инвестиционна програма'!J$78*SUMIF('11.1.Амортиз.нови активи'!$B$11:$B$58,$B126,'11.1.Амортиз.нови активи'!AE$11:AE$58))</f>
        <v>0</v>
      </c>
      <c r="R126" s="900">
        <f>Q126+SUMIF('11.1.Амортиз.нови активи'!$B$11:$B$58,$B126,'11.1.Амортиз.нови активи'!R$11:R$58)+('9.Инвестиционна програма'!K$78*SUMIF('11.1.Амортиз.нови активи'!$B$11:$B$58,$B126,'11.1.Амортиз.нови активи'!AF$11:AF$58))</f>
        <v>0</v>
      </c>
      <c r="S126" s="2169"/>
      <c r="T126" s="898">
        <f>S126+SUMIF('11.1.Амортиз.нови активи'!$B$11:$B$58,$B126,'11.1.Амортиз.нови активи'!T$11:T$58)+('9.Инвестиционна програма'!F$79*SUMIF('11.1.Амортиз.нови активи'!$B$11:$B$58,$B126,'11.1.Амортиз.нови активи'!AA$11:AA$58))</f>
        <v>120</v>
      </c>
      <c r="U126" s="899">
        <f>T126+SUMIF('11.1.Амортиз.нови активи'!$B$11:$B$58,$B126,'11.1.Амортиз.нови активи'!U$11:U$58)+('9.Инвестиционна програма'!G$79*SUMIF('11.1.Амортиз.нови активи'!$B$11:$B$58,$B126,'11.1.Амортиз.нови активи'!AB$11:AB$58))</f>
        <v>154</v>
      </c>
      <c r="V126" s="899">
        <f>U126+SUMIF('11.1.Амортиз.нови активи'!$B$11:$B$58,$B126,'11.1.Амортиз.нови активи'!V$11:V$58)+('9.Инвестиционна програма'!H$79*SUMIF('11.1.Амортиз.нови активи'!$B$11:$B$58,$B126,'11.1.Амортиз.нови активи'!AC$11:AC$58))</f>
        <v>272</v>
      </c>
      <c r="W126" s="899">
        <f>V126+SUMIF('11.1.Амортиз.нови активи'!$B$11:$B$58,$B126,'11.1.Амортиз.нови активи'!W$11:W$58)+('9.Инвестиционна програма'!I$79*SUMIF('11.1.Амортиз.нови активи'!$B$11:$B$58,$B126,'11.1.Амортиз.нови активи'!AD$11:AD$58))</f>
        <v>342</v>
      </c>
      <c r="X126" s="899">
        <f>W126+SUMIF('11.1.Амортиз.нови активи'!$B$11:$B$58,$B126,'11.1.Амортиз.нови активи'!X$11:X$58)+('9.Инвестиционна програма'!J$79*SUMIF('11.1.Амортиз.нови активи'!$B$11:$B$58,$B126,'11.1.Амортиз.нови активи'!AE$11:AE$58))</f>
        <v>377</v>
      </c>
      <c r="Y126" s="900">
        <f>X126+SUMIF('11.1.Амортиз.нови активи'!$B$11:$B$58,$B126,'11.1.Амортиз.нови активи'!Y$11:Y$58)+('9.Инвестиционна програма'!K$79*SUMIF('11.1.Амортиз.нови активи'!$B$11:$B$58,$B126,'11.1.Амортиз.нови активи'!AF$11:AF$58))</f>
        <v>397</v>
      </c>
      <c r="Z126" s="1592"/>
      <c r="AA126" s="1623"/>
      <c r="AB126" s="1647"/>
    </row>
    <row r="127" spans="1:28" s="1563" customFormat="1">
      <c r="A127" s="1650">
        <v>17</v>
      </c>
      <c r="B127" s="1595">
        <v>2040208</v>
      </c>
      <c r="C127" s="1596">
        <v>0.04</v>
      </c>
      <c r="D127" s="1546" t="s">
        <v>595</v>
      </c>
      <c r="E127" s="2169"/>
      <c r="F127" s="898">
        <f>E127+SUMIF('11.1.Амортиз.нови активи'!$B$11:$B$58,$B127,'11.1.Амортиз.нови активи'!F$11:F$58)+('9.Инвестиционна програма'!F$77*SUMIF('11.1.Амортиз.нови активи'!$B$11:$B$58,$B127,'11.1.Амортиз.нови активи'!AA$11:AA$58))</f>
        <v>0</v>
      </c>
      <c r="G127" s="899">
        <f>F127+SUMIF('11.1.Амортиз.нови активи'!$B$11:$B$58,$B127,'11.1.Амортиз.нови активи'!G$11:G$58)+('9.Инвестиционна програма'!G$77*SUMIF('11.1.Амортиз.нови активи'!$B$11:$B$58,$B127,'11.1.Амортиз.нови активи'!AB$11:AB$58))</f>
        <v>0</v>
      </c>
      <c r="H127" s="899">
        <f>G127+SUMIF('11.1.Амортиз.нови активи'!$B$11:$B$58,$B127,'11.1.Амортиз.нови активи'!H$11:H$58)+('9.Инвестиционна програма'!H$77*SUMIF('11.1.Амортиз.нови активи'!$B$11:$B$58,$B127,'11.1.Амортиз.нови активи'!AC$11:AC$58))</f>
        <v>0</v>
      </c>
      <c r="I127" s="899">
        <f>H127+SUMIF('11.1.Амортиз.нови активи'!$B$11:$B$58,$B127,'11.1.Амортиз.нови активи'!I$11:I$58)+('9.Инвестиционна програма'!I$77*SUMIF('11.1.Амортиз.нови активи'!$B$11:$B$58,$B127,'11.1.Амортиз.нови активи'!AD$11:AD$58))</f>
        <v>0</v>
      </c>
      <c r="J127" s="899">
        <f>I127+SUMIF('11.1.Амортиз.нови активи'!$B$11:$B$58,$B127,'11.1.Амортиз.нови активи'!J$11:J$58)+('9.Инвестиционна програма'!J$77*SUMIF('11.1.Амортиз.нови активи'!$B$11:$B$58,$B127,'11.1.Амортиз.нови активи'!AE$11:AE$58))</f>
        <v>0</v>
      </c>
      <c r="K127" s="900">
        <f>J127+SUMIF('11.1.Амортиз.нови активи'!$B$11:$B$58,$B127,'11.1.Амортиз.нови активи'!K$11:K$58)+('9.Инвестиционна програма'!K$77*SUMIF('11.1.Амортиз.нови активи'!$B$11:$B$58,$B127,'11.1.Амортиз.нови активи'!AF$11:AF$58))</f>
        <v>0</v>
      </c>
      <c r="L127" s="2169"/>
      <c r="M127" s="898">
        <f>L127+SUMIF('11.1.Амортиз.нови активи'!$B$11:$B$58,$B127,'11.1.Амортиз.нови активи'!M$11:M$58)+('9.Инвестиционна програма'!F$78*SUMIF('11.1.Амортиз.нови активи'!$B$11:$B$58,$B127,'11.1.Амортиз.нови активи'!AA$11:AA$58))</f>
        <v>0</v>
      </c>
      <c r="N127" s="899">
        <f>M127+SUMIF('11.1.Амортиз.нови активи'!$B$11:$B$58,$B127,'11.1.Амортиз.нови активи'!N$11:N$58)+('9.Инвестиционна програма'!G$78*SUMIF('11.1.Амортиз.нови активи'!$B$11:$B$58,$B127,'11.1.Амортиз.нови активи'!AB$11:AB$58))</f>
        <v>0</v>
      </c>
      <c r="O127" s="899">
        <f>N127+SUMIF('11.1.Амортиз.нови активи'!$B$11:$B$58,$B127,'11.1.Амортиз.нови активи'!O$11:O$58)+('9.Инвестиционна програма'!H$78*SUMIF('11.1.Амортиз.нови активи'!$B$11:$B$58,$B127,'11.1.Амортиз.нови активи'!AC$11:AC$58))</f>
        <v>0</v>
      </c>
      <c r="P127" s="899">
        <f>O127+SUMIF('11.1.Амортиз.нови активи'!$B$11:$B$58,$B127,'11.1.Амортиз.нови активи'!P$11:P$58)+('9.Инвестиционна програма'!I$78*SUMIF('11.1.Амортиз.нови активи'!$B$11:$B$58,$B127,'11.1.Амортиз.нови активи'!AD$11:AD$58))</f>
        <v>0</v>
      </c>
      <c r="Q127" s="899">
        <f>P127+SUMIF('11.1.Амортиз.нови активи'!$B$11:$B$58,$B127,'11.1.Амортиз.нови активи'!Q$11:Q$58)+('9.Инвестиционна програма'!J$78*SUMIF('11.1.Амортиз.нови активи'!$B$11:$B$58,$B127,'11.1.Амортиз.нови активи'!AE$11:AE$58))</f>
        <v>0</v>
      </c>
      <c r="R127" s="900">
        <f>Q127+SUMIF('11.1.Амортиз.нови активи'!$B$11:$B$58,$B127,'11.1.Амортиз.нови активи'!R$11:R$58)+('9.Инвестиционна програма'!K$78*SUMIF('11.1.Амортиз.нови активи'!$B$11:$B$58,$B127,'11.1.Амортиз.нови активи'!AF$11:AF$58))</f>
        <v>0</v>
      </c>
      <c r="S127" s="2169"/>
      <c r="T127" s="898">
        <f>S127+SUMIF('11.1.Амортиз.нови активи'!$B$11:$B$58,$B127,'11.1.Амортиз.нови активи'!T$11:T$58)+('9.Инвестиционна програма'!F$79*SUMIF('11.1.Амортиз.нови активи'!$B$11:$B$58,$B127,'11.1.Амортиз.нови активи'!AA$11:AA$58))</f>
        <v>0</v>
      </c>
      <c r="U127" s="899">
        <f>T127+SUMIF('11.1.Амортиз.нови активи'!$B$11:$B$58,$B127,'11.1.Амортиз.нови активи'!U$11:U$58)+('9.Инвестиционна програма'!G$79*SUMIF('11.1.Амортиз.нови активи'!$B$11:$B$58,$B127,'11.1.Амортиз.нови активи'!AB$11:AB$58))</f>
        <v>0</v>
      </c>
      <c r="V127" s="899">
        <f>U127+SUMIF('11.1.Амортиз.нови активи'!$B$11:$B$58,$B127,'11.1.Амортиз.нови активи'!V$11:V$58)+('9.Инвестиционна програма'!H$79*SUMIF('11.1.Амортиз.нови активи'!$B$11:$B$58,$B127,'11.1.Амортиз.нови активи'!AC$11:AC$58))</f>
        <v>0</v>
      </c>
      <c r="W127" s="899">
        <f>V127+SUMIF('11.1.Амортиз.нови активи'!$B$11:$B$58,$B127,'11.1.Амортиз.нови активи'!W$11:W$58)+('9.Инвестиционна програма'!I$79*SUMIF('11.1.Амортиз.нови активи'!$B$11:$B$58,$B127,'11.1.Амортиз.нови активи'!AD$11:AD$58))</f>
        <v>0</v>
      </c>
      <c r="X127" s="899">
        <f>W127+SUMIF('11.1.Амортиз.нови активи'!$B$11:$B$58,$B127,'11.1.Амортиз.нови активи'!X$11:X$58)+('9.Инвестиционна програма'!J$79*SUMIF('11.1.Амортиз.нови активи'!$B$11:$B$58,$B127,'11.1.Амортиз.нови активи'!AE$11:AE$58))</f>
        <v>0</v>
      </c>
      <c r="Y127" s="900">
        <f>X127+SUMIF('11.1.Амортиз.нови активи'!$B$11:$B$58,$B127,'11.1.Амортиз.нови активи'!Y$11:Y$58)+('9.Инвестиционна програма'!K$79*SUMIF('11.1.Амортиз.нови активи'!$B$11:$B$58,$B127,'11.1.Амортиз.нови активи'!AF$11:AF$58))</f>
        <v>0</v>
      </c>
      <c r="Z127" s="1592"/>
      <c r="AA127" s="1623"/>
      <c r="AB127" s="1647"/>
    </row>
    <row r="128" spans="1:28" s="1563" customFormat="1">
      <c r="A128" s="1650">
        <v>18</v>
      </c>
      <c r="B128" s="1753" t="s">
        <v>1525</v>
      </c>
      <c r="C128" s="1596">
        <v>0.04</v>
      </c>
      <c r="D128" s="1648" t="s">
        <v>606</v>
      </c>
      <c r="E128" s="2169"/>
      <c r="F128" s="898">
        <f>E128+SUMIF('11.1.Амортиз.нови активи'!$B$11:$B$58,$B128,'11.1.Амортиз.нови активи'!F$11:F$58)+('9.Инвестиционна програма'!F$77*SUMIF('11.1.Амортиз.нови активи'!$B$11:$B$58,$B128,'11.1.Амортиз.нови активи'!AA$11:AA$58))</f>
        <v>0</v>
      </c>
      <c r="G128" s="899">
        <f>F128+SUMIF('11.1.Амортиз.нови активи'!$B$11:$B$58,$B128,'11.1.Амортиз.нови активи'!G$11:G$58)+('9.Инвестиционна програма'!G$77*SUMIF('11.1.Амортиз.нови активи'!$B$11:$B$58,$B128,'11.1.Амортиз.нови активи'!AB$11:AB$58))</f>
        <v>0</v>
      </c>
      <c r="H128" s="899">
        <f>G128+SUMIF('11.1.Амортиз.нови активи'!$B$11:$B$58,$B128,'11.1.Амортиз.нови активи'!H$11:H$58)+('9.Инвестиционна програма'!H$77*SUMIF('11.1.Амортиз.нови активи'!$B$11:$B$58,$B128,'11.1.Амортиз.нови активи'!AC$11:AC$58))</f>
        <v>0</v>
      </c>
      <c r="I128" s="899">
        <f>H128+SUMIF('11.1.Амортиз.нови активи'!$B$11:$B$58,$B128,'11.1.Амортиз.нови активи'!I$11:I$58)+('9.Инвестиционна програма'!I$77*SUMIF('11.1.Амортиз.нови активи'!$B$11:$B$58,$B128,'11.1.Амортиз.нови активи'!AD$11:AD$58))</f>
        <v>0</v>
      </c>
      <c r="J128" s="899">
        <f>I128+SUMIF('11.1.Амортиз.нови активи'!$B$11:$B$58,$B128,'11.1.Амортиз.нови активи'!J$11:J$58)+('9.Инвестиционна програма'!J$77*SUMIF('11.1.Амортиз.нови активи'!$B$11:$B$58,$B128,'11.1.Амортиз.нови активи'!AE$11:AE$58))</f>
        <v>0</v>
      </c>
      <c r="K128" s="900">
        <f>J128+SUMIF('11.1.Амортиз.нови активи'!$B$11:$B$58,$B128,'11.1.Амортиз.нови активи'!K$11:K$58)+('9.Инвестиционна програма'!K$77*SUMIF('11.1.Амортиз.нови активи'!$B$11:$B$58,$B128,'11.1.Амортиз.нови активи'!AF$11:AF$58))</f>
        <v>0</v>
      </c>
      <c r="L128" s="2169"/>
      <c r="M128" s="898">
        <f>L128+SUMIF('11.1.Амортиз.нови активи'!$B$11:$B$58,$B128,'11.1.Амортиз.нови активи'!M$11:M$58)+('9.Инвестиционна програма'!F$78*SUMIF('11.1.Амортиз.нови активи'!$B$11:$B$58,$B128,'11.1.Амортиз.нови активи'!AA$11:AA$58))</f>
        <v>0</v>
      </c>
      <c r="N128" s="899">
        <f>M128+SUMIF('11.1.Амортиз.нови активи'!$B$11:$B$58,$B128,'11.1.Амортиз.нови активи'!N$11:N$58)+('9.Инвестиционна програма'!G$78*SUMIF('11.1.Амортиз.нови активи'!$B$11:$B$58,$B128,'11.1.Амортиз.нови активи'!AB$11:AB$58))</f>
        <v>0</v>
      </c>
      <c r="O128" s="899">
        <f>N128+SUMIF('11.1.Амортиз.нови активи'!$B$11:$B$58,$B128,'11.1.Амортиз.нови активи'!O$11:O$58)+('9.Инвестиционна програма'!H$78*SUMIF('11.1.Амортиз.нови активи'!$B$11:$B$58,$B128,'11.1.Амортиз.нови активи'!AC$11:AC$58))</f>
        <v>0</v>
      </c>
      <c r="P128" s="899">
        <f>O128+SUMIF('11.1.Амортиз.нови активи'!$B$11:$B$58,$B128,'11.1.Амортиз.нови активи'!P$11:P$58)+('9.Инвестиционна програма'!I$78*SUMIF('11.1.Амортиз.нови активи'!$B$11:$B$58,$B128,'11.1.Амортиз.нови активи'!AD$11:AD$58))</f>
        <v>0</v>
      </c>
      <c r="Q128" s="899">
        <f>P128+SUMIF('11.1.Амортиз.нови активи'!$B$11:$B$58,$B128,'11.1.Амортиз.нови активи'!Q$11:Q$58)+('9.Инвестиционна програма'!J$78*SUMIF('11.1.Амортиз.нови активи'!$B$11:$B$58,$B128,'11.1.Амортиз.нови активи'!AE$11:AE$58))</f>
        <v>0</v>
      </c>
      <c r="R128" s="900">
        <f>Q128+SUMIF('11.1.Амортиз.нови активи'!$B$11:$B$58,$B128,'11.1.Амортиз.нови активи'!R$11:R$58)+('9.Инвестиционна програма'!K$78*SUMIF('11.1.Амортиз.нови активи'!$B$11:$B$58,$B128,'11.1.Амортиз.нови активи'!AF$11:AF$58))</f>
        <v>0</v>
      </c>
      <c r="S128" s="2169"/>
      <c r="T128" s="898">
        <f>S128+SUMIF('11.1.Амортиз.нови активи'!$B$11:$B$58,$B128,'11.1.Амортиз.нови активи'!T$11:T$58)+('9.Инвестиционна програма'!F$79*SUMIF('11.1.Амортиз.нови активи'!$B$11:$B$58,$B128,'11.1.Амортиз.нови активи'!AA$11:AA$58))</f>
        <v>0</v>
      </c>
      <c r="U128" s="899">
        <f>T128+SUMIF('11.1.Амортиз.нови активи'!$B$11:$B$58,$B128,'11.1.Амортиз.нови активи'!U$11:U$58)+('9.Инвестиционна програма'!G$79*SUMIF('11.1.Амортиз.нови активи'!$B$11:$B$58,$B128,'11.1.Амортиз.нови активи'!AB$11:AB$58))</f>
        <v>0</v>
      </c>
      <c r="V128" s="899">
        <f>U128+SUMIF('11.1.Амортиз.нови активи'!$B$11:$B$58,$B128,'11.1.Амортиз.нови активи'!V$11:V$58)+('9.Инвестиционна програма'!H$79*SUMIF('11.1.Амортиз.нови активи'!$B$11:$B$58,$B128,'11.1.Амортиз.нови активи'!AC$11:AC$58))</f>
        <v>0</v>
      </c>
      <c r="W128" s="899">
        <f>V128+SUMIF('11.1.Амортиз.нови активи'!$B$11:$B$58,$B128,'11.1.Амортиз.нови активи'!W$11:W$58)+('9.Инвестиционна програма'!I$79*SUMIF('11.1.Амортиз.нови активи'!$B$11:$B$58,$B128,'11.1.Амортиз.нови активи'!AD$11:AD$58))</f>
        <v>0</v>
      </c>
      <c r="X128" s="899">
        <f>W128+SUMIF('11.1.Амортиз.нови активи'!$B$11:$B$58,$B128,'11.1.Амортиз.нови активи'!X$11:X$58)+('9.Инвестиционна програма'!J$79*SUMIF('11.1.Амортиз.нови активи'!$B$11:$B$58,$B128,'11.1.Амортиз.нови активи'!AE$11:AE$58))</f>
        <v>0</v>
      </c>
      <c r="Y128" s="900">
        <f>X128+SUMIF('11.1.Амортиз.нови активи'!$B$11:$B$58,$B128,'11.1.Амортиз.нови активи'!Y$11:Y$58)+('9.Инвестиционна програма'!K$79*SUMIF('11.1.Амортиз.нови активи'!$B$11:$B$58,$B128,'11.1.Амортиз.нови активи'!AF$11:AF$58))</f>
        <v>0</v>
      </c>
      <c r="Z128" s="1592"/>
      <c r="AA128" s="1623"/>
      <c r="AB128" s="1647"/>
    </row>
    <row r="129" spans="1:28" s="1563" customFormat="1" ht="24.75" thickBot="1">
      <c r="A129" s="1650">
        <v>19</v>
      </c>
      <c r="B129" s="1595">
        <v>215</v>
      </c>
      <c r="C129" s="1600">
        <v>0.2</v>
      </c>
      <c r="D129" s="1546" t="s">
        <v>911</v>
      </c>
      <c r="E129" s="2169"/>
      <c r="F129" s="904">
        <f>E129+SUMIF('11.1.Амортиз.нови активи'!$B$11:$B$58,$B129,'11.1.Амортиз.нови активи'!F$11:F$58)+('9.Инвестиционна програма'!F$77*SUMIF('11.1.Амортиз.нови активи'!$B$11:$B$58,$B129,'11.1.Амортиз.нови активи'!AA$11:AA$58))</f>
        <v>0</v>
      </c>
      <c r="G129" s="905">
        <f>F129+SUMIF('11.1.Амортиз.нови активи'!$B$11:$B$58,$B129,'11.1.Амортиз.нови активи'!G$11:G$58)+('9.Инвестиционна програма'!G$77*SUMIF('11.1.Амортиз.нови активи'!$B$11:$B$58,$B129,'11.1.Амортиз.нови активи'!AB$11:AB$58))</f>
        <v>0</v>
      </c>
      <c r="H129" s="905">
        <f>G129+SUMIF('11.1.Амортиз.нови активи'!$B$11:$B$58,$B129,'11.1.Амортиз.нови активи'!H$11:H$58)+('9.Инвестиционна програма'!H$77*SUMIF('11.1.Амортиз.нови активи'!$B$11:$B$58,$B129,'11.1.Амортиз.нови активи'!AC$11:AC$58))</f>
        <v>88.775818639798487</v>
      </c>
      <c r="I129" s="905">
        <f>H129+SUMIF('11.1.Амортиз.нови активи'!$B$11:$B$58,$B129,'11.1.Амортиз.нови активи'!I$11:I$58)+('9.Инвестиционна програма'!I$77*SUMIF('11.1.Амортиз.нови активи'!$B$11:$B$58,$B129,'11.1.Амортиз.нови активи'!AD$11:AD$58))</f>
        <v>178.19229461233851</v>
      </c>
      <c r="J129" s="905">
        <f>I129+SUMIF('11.1.Амортиз.нови активи'!$B$11:$B$58,$B129,'11.1.Амортиз.нови активи'!J$11:J$58)+('9.Инвестиционна програма'!J$77*SUMIF('11.1.Амортиз.нови активи'!$B$11:$B$58,$B129,'11.1.Амортиз.нови активи'!AE$11:AE$58))</f>
        <v>260.54230843594922</v>
      </c>
      <c r="K129" s="906">
        <f>J129+SUMIF('11.1.Амортиз.нови активи'!$B$11:$B$58,$B129,'11.1.Амортиз.нови активи'!K$11:K$58)+('9.Инвестиционна програма'!K$77*SUMIF('11.1.Амортиз.нови активи'!$B$11:$B$58,$B129,'11.1.Амортиз.нови активи'!AF$11:AF$58))</f>
        <v>317.04415841913118</v>
      </c>
      <c r="L129" s="2169"/>
      <c r="M129" s="904">
        <f>L129+SUMIF('11.1.Амортиз.нови активи'!$B$11:$B$58,$B129,'11.1.Амортиз.нови активи'!M$11:M$58)+('9.Инвестиционна програма'!F$78*SUMIF('11.1.Амортиз.нови активи'!$B$11:$B$58,$B129,'11.1.Амортиз.нови активи'!AA$11:AA$58))</f>
        <v>0</v>
      </c>
      <c r="N129" s="905">
        <f>M129+SUMIF('11.1.Амортиз.нови активи'!$B$11:$B$58,$B129,'11.1.Амортиз.нови активи'!N$11:N$58)+('9.Инвестиционна програма'!G$78*SUMIF('11.1.Амортиз.нови активи'!$B$11:$B$58,$B129,'11.1.Амортиз.нови активи'!AB$11:AB$58))</f>
        <v>0</v>
      </c>
      <c r="O129" s="905">
        <f>N129+SUMIF('11.1.Амортиз.нови активи'!$B$11:$B$58,$B129,'11.1.Амортиз.нови активи'!O$11:O$58)+('9.Инвестиционна програма'!H$78*SUMIF('11.1.Амортиз.нови активи'!$B$11:$B$58,$B129,'11.1.Амортиз.нови активи'!AC$11:AC$58))</f>
        <v>8.589420654911839</v>
      </c>
      <c r="P129" s="905">
        <f>O129+SUMIF('11.1.Амортиз.нови активи'!$B$11:$B$58,$B129,'11.1.Амортиз.нови активи'!P$11:P$58)+('9.Инвестиционна програма'!I$78*SUMIF('11.1.Амортиз.нови активи'!$B$11:$B$58,$B129,'11.1.Амортиз.нови активи'!AD$11:AD$58))</f>
        <v>54.348383278863025</v>
      </c>
      <c r="Q129" s="905">
        <f>P129+SUMIF('11.1.Амортиз.нови активи'!$B$11:$B$58,$B129,'11.1.Амортиз.нови активи'!Q$11:Q$58)+('9.Инвестиционна програма'!J$78*SUMIF('11.1.Амортиз.нови активи'!$B$11:$B$58,$B129,'11.1.Амортиз.нови активи'!AE$11:AE$58))</f>
        <v>109.71747368527718</v>
      </c>
      <c r="R129" s="906">
        <f>Q129+SUMIF('11.1.Амортиз.нови активи'!$B$11:$B$58,$B129,'11.1.Амортиз.нови активи'!R$11:R$58)+('9.Инвестиционна програма'!K$78*SUMIF('11.1.Амортиз.нови активи'!$B$11:$B$58,$B129,'11.1.Амортиз.нови активи'!AF$11:AF$58))</f>
        <v>151.49682114575481</v>
      </c>
      <c r="S129" s="2169"/>
      <c r="T129" s="904">
        <f>S129+SUMIF('11.1.Амортиз.нови активи'!$B$11:$B$58,$B129,'11.1.Амортиз.нови активи'!T$11:T$58)+('9.Инвестиционна програма'!F$79*SUMIF('11.1.Амортиз.нови активи'!$B$11:$B$58,$B129,'11.1.Амортиз.нови активи'!AA$11:AA$58))</f>
        <v>0</v>
      </c>
      <c r="U129" s="905">
        <f>T129+SUMIF('11.1.Амортиз.нови активи'!$B$11:$B$58,$B129,'11.1.Амортиз.нови активи'!U$11:U$58)+('9.Инвестиционна програма'!G$79*SUMIF('11.1.Амортиз.нови активи'!$B$11:$B$58,$B129,'11.1.Амортиз.нови активи'!AB$11:AB$58))</f>
        <v>0</v>
      </c>
      <c r="V129" s="905">
        <f>U129+SUMIF('11.1.Амортиз.нови активи'!$B$11:$B$58,$B129,'11.1.Амортиз.нови активи'!V$11:V$58)+('9.Инвестиционна програма'!H$79*SUMIF('11.1.Амортиз.нови активи'!$B$11:$B$58,$B129,'11.1.Амортиз.нови активи'!AC$11:AC$58))</f>
        <v>12.634760705289672</v>
      </c>
      <c r="W129" s="905">
        <f>V129+SUMIF('11.1.Амортиз.нови активи'!$B$11:$B$58,$B129,'11.1.Амортиз.нови активи'!W$11:W$58)+('9.Инвестиционна програма'!I$79*SUMIF('11.1.Амортиз.нови активи'!$B$11:$B$58,$B129,'11.1.Амортиз.нови активи'!AD$11:AD$58))</f>
        <v>17.459322108798442</v>
      </c>
      <c r="X129" s="905">
        <f>W129+SUMIF('11.1.Амортиз.нови активи'!$B$11:$B$58,$B129,'11.1.Амортиз.нови активи'!X$11:X$58)+('9.Инвестиционна програма'!J$79*SUMIF('11.1.Амортиз.нови активи'!$B$11:$B$58,$B129,'11.1.Амортиз.нови активи'!AE$11:AE$58))</f>
        <v>19.74021787877356</v>
      </c>
      <c r="Y129" s="906">
        <f>X129+SUMIF('11.1.Амортиз.нови активи'!$B$11:$B$58,$B129,'11.1.Амортиз.нови активи'!Y$11:Y$58)+('9.Инвестиционна програма'!K$79*SUMIF('11.1.Амортиз.нови активи'!$B$11:$B$58,$B129,'11.1.Амортиз.нови активи'!AF$11:AF$58))</f>
        <v>21.459020435113956</v>
      </c>
      <c r="Z129" s="1592"/>
      <c r="AA129" s="1623"/>
      <c r="AB129" s="1647"/>
    </row>
    <row r="130" spans="1:28" s="1563" customFormat="1" ht="13.5" thickBot="1">
      <c r="A130" s="1615" t="s">
        <v>269</v>
      </c>
      <c r="B130" s="1616"/>
      <c r="C130" s="1616"/>
      <c r="D130" s="1586" t="s">
        <v>281</v>
      </c>
      <c r="E130" s="1639">
        <f t="shared" ref="E130:Y130" si="73">SUM(E131:E149)</f>
        <v>0</v>
      </c>
      <c r="F130" s="1643">
        <f t="shared" si="73"/>
        <v>28.560000000000002</v>
      </c>
      <c r="G130" s="1644">
        <f t="shared" si="73"/>
        <v>82.511369023293824</v>
      </c>
      <c r="H130" s="1644">
        <f t="shared" si="73"/>
        <v>144.13554907272351</v>
      </c>
      <c r="I130" s="1645">
        <f t="shared" si="73"/>
        <v>229.14660205062484</v>
      </c>
      <c r="J130" s="1644">
        <f t="shared" si="73"/>
        <v>335.03449347275171</v>
      </c>
      <c r="K130" s="1644">
        <f t="shared" si="73"/>
        <v>446.61250592235672</v>
      </c>
      <c r="L130" s="1639">
        <f t="shared" si="73"/>
        <v>0</v>
      </c>
      <c r="M130" s="1643">
        <f t="shared" si="73"/>
        <v>2.89</v>
      </c>
      <c r="N130" s="1644">
        <f t="shared" si="73"/>
        <v>6.0194769105026564</v>
      </c>
      <c r="O130" s="1644">
        <f t="shared" si="73"/>
        <v>16.449435299020628</v>
      </c>
      <c r="P130" s="1645">
        <f t="shared" si="73"/>
        <v>40.223607818007054</v>
      </c>
      <c r="Q130" s="1644">
        <f t="shared" si="73"/>
        <v>74.258258832548933</v>
      </c>
      <c r="R130" s="1644">
        <f t="shared" si="73"/>
        <v>109.85081929963098</v>
      </c>
      <c r="S130" s="1639">
        <f t="shared" si="73"/>
        <v>0</v>
      </c>
      <c r="T130" s="1640">
        <f t="shared" si="73"/>
        <v>3.9</v>
      </c>
      <c r="U130" s="1641">
        <f t="shared" si="73"/>
        <v>8.5391540662035137</v>
      </c>
      <c r="V130" s="1641">
        <f t="shared" si="73"/>
        <v>13.815015628255887</v>
      </c>
      <c r="W130" s="1642">
        <f t="shared" si="73"/>
        <v>22.634790131368153</v>
      </c>
      <c r="X130" s="1641">
        <f t="shared" si="73"/>
        <v>27.697247694699406</v>
      </c>
      <c r="Y130" s="1646">
        <f t="shared" si="73"/>
        <v>31.106674778012348</v>
      </c>
      <c r="Z130" s="1587"/>
      <c r="AA130" s="1623"/>
      <c r="AB130" s="1647"/>
    </row>
    <row r="131" spans="1:28" s="1563" customFormat="1">
      <c r="A131" s="1594">
        <v>1</v>
      </c>
      <c r="B131" s="1589">
        <v>20102</v>
      </c>
      <c r="C131" s="1611">
        <v>0</v>
      </c>
      <c r="D131" s="279" t="s">
        <v>760</v>
      </c>
      <c r="E131" s="2169"/>
      <c r="F131" s="898">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899">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899">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899">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899">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899">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169"/>
      <c r="M131" s="901">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902">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902">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902">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902">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903">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2169"/>
      <c r="T131" s="898">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899">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899">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899">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899">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900">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618"/>
      <c r="AA131" s="1623"/>
      <c r="AB131" s="1647"/>
    </row>
    <row r="132" spans="1:28" s="1563" customFormat="1">
      <c r="A132" s="1594">
        <v>2</v>
      </c>
      <c r="B132" s="1595">
        <v>20202</v>
      </c>
      <c r="C132" s="1596">
        <v>0.03</v>
      </c>
      <c r="D132" s="1648" t="s">
        <v>598</v>
      </c>
      <c r="E132" s="2169"/>
      <c r="F132" s="898">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899">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0.09</v>
      </c>
      <c r="H132" s="899">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0.32999999999999996</v>
      </c>
      <c r="I132" s="899">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1.0049999999999999</v>
      </c>
      <c r="J132" s="899">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1.98</v>
      </c>
      <c r="K132" s="899">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2.88</v>
      </c>
      <c r="L132" s="2169"/>
      <c r="M132" s="898">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899">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899">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899">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899">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900">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2169"/>
      <c r="T132" s="898">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899">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899">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899">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899">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900">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592"/>
      <c r="AA132" s="1623"/>
      <c r="AB132" s="1647"/>
    </row>
    <row r="133" spans="1:28" s="1563" customFormat="1">
      <c r="A133" s="1594">
        <v>3</v>
      </c>
      <c r="B133" s="1595">
        <v>2030401</v>
      </c>
      <c r="C133" s="1600">
        <v>0.1</v>
      </c>
      <c r="D133" s="1546" t="s">
        <v>1470</v>
      </c>
      <c r="E133" s="2169"/>
      <c r="F133" s="898">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899">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v>
      </c>
      <c r="H133" s="899">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0</v>
      </c>
      <c r="I133" s="899">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0</v>
      </c>
      <c r="J133" s="899">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0</v>
      </c>
      <c r="K133" s="899">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0</v>
      </c>
      <c r="L133" s="2169"/>
      <c r="M133" s="898">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899">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899">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899">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899">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900">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2169"/>
      <c r="T133" s="898">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899">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899">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899">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899">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900">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592"/>
      <c r="AA133" s="1623"/>
      <c r="AB133" s="1647"/>
    </row>
    <row r="134" spans="1:28" s="1563" customFormat="1">
      <c r="A134" s="1594">
        <v>4</v>
      </c>
      <c r="B134" s="1595">
        <v>2030402</v>
      </c>
      <c r="C134" s="1600">
        <v>0.1</v>
      </c>
      <c r="D134" s="1546" t="s">
        <v>601</v>
      </c>
      <c r="E134" s="2169"/>
      <c r="F134" s="898">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899">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899">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899">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899">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899">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169"/>
      <c r="M134" s="898">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899">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899">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899">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899">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900">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2169"/>
      <c r="T134" s="898">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899">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899">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899">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899">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900">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592"/>
      <c r="AA134" s="1623"/>
      <c r="AB134" s="1647"/>
    </row>
    <row r="135" spans="1:28" s="1563" customFormat="1">
      <c r="A135" s="1594">
        <v>5</v>
      </c>
      <c r="B135" s="1595">
        <v>2030501</v>
      </c>
      <c r="C135" s="1600">
        <v>0.1</v>
      </c>
      <c r="D135" s="1546" t="s">
        <v>580</v>
      </c>
      <c r="E135" s="2169"/>
      <c r="F135" s="898">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0.95000000000000007</v>
      </c>
      <c r="G135" s="899">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7.8013690232938293</v>
      </c>
      <c r="H135" s="899">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28.082579704105022</v>
      </c>
      <c r="I135" s="899">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58.632180619764725</v>
      </c>
      <c r="J135" s="899">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98.502121089507426</v>
      </c>
      <c r="K135" s="899">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147.03889417111179</v>
      </c>
      <c r="L135" s="2169"/>
      <c r="M135" s="898">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0</v>
      </c>
      <c r="N135" s="899">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0.2394769105026564</v>
      </c>
      <c r="O135" s="899">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5.3268535111481556</v>
      </c>
      <c r="P135" s="899">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12.118670755710168</v>
      </c>
      <c r="Q135" s="899">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20.011159145601294</v>
      </c>
      <c r="R135" s="900">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29.461237168227171</v>
      </c>
      <c r="S135" s="2169"/>
      <c r="T135" s="898">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0</v>
      </c>
      <c r="U135" s="899">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5.9154066203514502E-2</v>
      </c>
      <c r="V135" s="899">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1.3405667847468221</v>
      </c>
      <c r="W135" s="899">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4.0991486245251068</v>
      </c>
      <c r="X135" s="899">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5.7867197648912834</v>
      </c>
      <c r="Y135" s="900">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7.39986866066105</v>
      </c>
      <c r="Z135" s="1601"/>
      <c r="AA135" s="1623"/>
      <c r="AB135" s="1647"/>
    </row>
    <row r="136" spans="1:28" s="1563" customFormat="1" ht="24">
      <c r="A136" s="1594">
        <v>6</v>
      </c>
      <c r="B136" s="1595">
        <v>2030502</v>
      </c>
      <c r="C136" s="1600">
        <v>0.1</v>
      </c>
      <c r="D136" s="1546" t="s">
        <v>948</v>
      </c>
      <c r="E136" s="2169"/>
      <c r="F136" s="898">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899">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4.6000000000000005</v>
      </c>
      <c r="H136" s="899">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9.2000000000000011</v>
      </c>
      <c r="I136" s="899">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12.950000000000001</v>
      </c>
      <c r="J136" s="899">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20.200000000000003</v>
      </c>
      <c r="K136" s="899">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27.200000000000003</v>
      </c>
      <c r="L136" s="2169"/>
      <c r="M136" s="898">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899">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899">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899">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899">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900">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2169"/>
      <c r="T136" s="898">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899">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899">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899">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899">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900">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592"/>
      <c r="AA136" s="1623"/>
      <c r="AB136" s="1647"/>
    </row>
    <row r="137" spans="1:28" s="1563" customFormat="1">
      <c r="A137" s="1594">
        <v>7</v>
      </c>
      <c r="B137" s="1595">
        <v>2030503</v>
      </c>
      <c r="C137" s="1600">
        <v>0.1</v>
      </c>
      <c r="D137" s="1546" t="s">
        <v>966</v>
      </c>
      <c r="E137" s="2169"/>
      <c r="F137" s="898">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0.05</v>
      </c>
      <c r="G137" s="899">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0.1</v>
      </c>
      <c r="H137" s="899">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0.1</v>
      </c>
      <c r="I137" s="899">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2.5000000000000004</v>
      </c>
      <c r="J137" s="899">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7.4</v>
      </c>
      <c r="K137" s="899">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12.65</v>
      </c>
      <c r="L137" s="2169"/>
      <c r="M137" s="898">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2.0500000000000003</v>
      </c>
      <c r="N137" s="899">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4.1000000000000005</v>
      </c>
      <c r="O137" s="899">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4.1000000000000005</v>
      </c>
      <c r="P137" s="899">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6.6000000000000005</v>
      </c>
      <c r="Q137" s="899">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9.8500000000000014</v>
      </c>
      <c r="R137" s="900">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11.350000000000001</v>
      </c>
      <c r="S137" s="2169"/>
      <c r="T137" s="898">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1.5</v>
      </c>
      <c r="U137" s="899">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3</v>
      </c>
      <c r="V137" s="899">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3</v>
      </c>
      <c r="W137" s="899">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3</v>
      </c>
      <c r="X137" s="899">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3</v>
      </c>
      <c r="Y137" s="900">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3</v>
      </c>
      <c r="Z137" s="1592"/>
      <c r="AA137" s="1623"/>
      <c r="AB137" s="1647"/>
    </row>
    <row r="138" spans="1:28" s="1563" customFormat="1">
      <c r="A138" s="1594">
        <v>8</v>
      </c>
      <c r="B138" s="1595">
        <v>2040101</v>
      </c>
      <c r="C138" s="1649">
        <v>0.1</v>
      </c>
      <c r="D138" s="1558" t="s">
        <v>1442</v>
      </c>
      <c r="E138" s="2169"/>
      <c r="F138" s="898">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899">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899">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899">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899">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899">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169"/>
      <c r="M138" s="898">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899">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899">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899">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899">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900">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2169"/>
      <c r="T138" s="898">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899">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899">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899">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899">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900">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592"/>
      <c r="AA138" s="1623"/>
      <c r="AB138" s="1647"/>
    </row>
    <row r="139" spans="1:28" s="1563" customFormat="1">
      <c r="A139" s="1650">
        <v>9</v>
      </c>
      <c r="B139" s="1595">
        <v>2040102</v>
      </c>
      <c r="C139" s="1649">
        <v>0.04</v>
      </c>
      <c r="D139" s="1558" t="s">
        <v>604</v>
      </c>
      <c r="E139" s="2169"/>
      <c r="F139" s="898">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899">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899">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899">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899">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899">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169"/>
      <c r="M139" s="898">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899">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899">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899">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899">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900">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2169"/>
      <c r="T139" s="898">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899">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899">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899">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899">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900">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592"/>
      <c r="AA139" s="1623"/>
      <c r="AB139" s="1647"/>
    </row>
    <row r="140" spans="1:28" s="1563" customFormat="1">
      <c r="A140" s="1650">
        <v>10</v>
      </c>
      <c r="B140" s="1595">
        <v>2040201</v>
      </c>
      <c r="C140" s="1596">
        <v>0.02</v>
      </c>
      <c r="D140" s="1544" t="s">
        <v>1007</v>
      </c>
      <c r="E140" s="2169"/>
      <c r="F140" s="898">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899">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0.14000000000000001</v>
      </c>
      <c r="H140" s="899">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0.28000000000000003</v>
      </c>
      <c r="I140" s="899">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0.28000000000000003</v>
      </c>
      <c r="J140" s="899">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0.28000000000000003</v>
      </c>
      <c r="K140" s="899">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0.28000000000000003</v>
      </c>
      <c r="L140" s="2169"/>
      <c r="M140" s="898">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899">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899">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899">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899">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900">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2169"/>
      <c r="T140" s="898">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899">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899">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899">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899">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900">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592"/>
      <c r="AA140" s="1623"/>
      <c r="AB140" s="1647"/>
    </row>
    <row r="141" spans="1:28" s="1563" customFormat="1">
      <c r="A141" s="1650">
        <v>11</v>
      </c>
      <c r="B141" s="1595">
        <v>2040202</v>
      </c>
      <c r="C141" s="1596">
        <v>0.02</v>
      </c>
      <c r="D141" s="1544" t="s">
        <v>1008</v>
      </c>
      <c r="E141" s="2169"/>
      <c r="F141" s="898">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899">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899">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0.02</v>
      </c>
      <c r="I141" s="899">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0.33999999999999997</v>
      </c>
      <c r="J141" s="899">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0.94</v>
      </c>
      <c r="K141" s="899">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1.54</v>
      </c>
      <c r="L141" s="2169"/>
      <c r="M141" s="898">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899">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899">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899">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899">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900">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2169"/>
      <c r="T141" s="898">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899">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899">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899">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899">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900">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592"/>
      <c r="AA141" s="1623"/>
      <c r="AB141" s="1647"/>
    </row>
    <row r="142" spans="1:28" s="1563" customFormat="1">
      <c r="A142" s="1650">
        <v>12</v>
      </c>
      <c r="B142" s="1595">
        <v>2040203</v>
      </c>
      <c r="C142" s="1596">
        <v>0.02</v>
      </c>
      <c r="D142" s="1544" t="s">
        <v>590</v>
      </c>
      <c r="E142" s="2169"/>
      <c r="F142" s="898">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899">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899">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899">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899">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899">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169"/>
      <c r="M142" s="898">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899">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899">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899">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899">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900">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2169"/>
      <c r="T142" s="898">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899">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899">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899">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899">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900">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592"/>
      <c r="AA142" s="1623"/>
      <c r="AB142" s="1647"/>
    </row>
    <row r="143" spans="1:28" s="1563" customFormat="1">
      <c r="A143" s="1650">
        <v>13</v>
      </c>
      <c r="B143" s="1595">
        <v>2040204</v>
      </c>
      <c r="C143" s="1596">
        <v>0.02</v>
      </c>
      <c r="D143" s="1558" t="s">
        <v>591</v>
      </c>
      <c r="E143" s="2169"/>
      <c r="F143" s="898">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899">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v>
      </c>
      <c r="H143" s="899">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v>
      </c>
      <c r="I143" s="899">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0.2</v>
      </c>
      <c r="J143" s="899">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0.60000000000000009</v>
      </c>
      <c r="K143" s="899">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1</v>
      </c>
      <c r="L143" s="2169"/>
      <c r="M143" s="898">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899">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899">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899">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899">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900">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2169"/>
      <c r="T143" s="898">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899">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899">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899">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899">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900">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592"/>
      <c r="AA143" s="1623"/>
      <c r="AB143" s="1647"/>
    </row>
    <row r="144" spans="1:28" s="1563" customFormat="1">
      <c r="A144" s="1650">
        <v>14</v>
      </c>
      <c r="B144" s="1595">
        <v>2040205</v>
      </c>
      <c r="C144" s="1596">
        <v>0.02</v>
      </c>
      <c r="D144" s="1544" t="s">
        <v>592</v>
      </c>
      <c r="E144" s="2169"/>
      <c r="F144" s="898">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12.1</v>
      </c>
      <c r="G144" s="899">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31.919999999999998</v>
      </c>
      <c r="H144" s="899">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53.010000000000005</v>
      </c>
      <c r="I144" s="899">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76.94</v>
      </c>
      <c r="J144" s="899">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100.21000000000001</v>
      </c>
      <c r="K144" s="899">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123.58</v>
      </c>
      <c r="L144" s="2169"/>
      <c r="M144" s="898">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899">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899">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899">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899">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900">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2169"/>
      <c r="T144" s="898">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899">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899">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899">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899">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900">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592"/>
      <c r="AA144" s="1623"/>
      <c r="AB144" s="1647"/>
    </row>
    <row r="145" spans="1:28" s="1563" customFormat="1">
      <c r="A145" s="1650">
        <v>15</v>
      </c>
      <c r="B145" s="1595">
        <v>2040206</v>
      </c>
      <c r="C145" s="1596">
        <v>0.02</v>
      </c>
      <c r="D145" s="1546" t="s">
        <v>593</v>
      </c>
      <c r="E145" s="2169"/>
      <c r="F145" s="898">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899">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899">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899">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899">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899">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169"/>
      <c r="M145" s="898">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0.84</v>
      </c>
      <c r="N145" s="899">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1.68</v>
      </c>
      <c r="O145" s="899">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3.23</v>
      </c>
      <c r="P145" s="899">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9.8800000000000008</v>
      </c>
      <c r="Q145" s="899">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22.73</v>
      </c>
      <c r="R145" s="900">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38.230000000000004</v>
      </c>
      <c r="S145" s="2169"/>
      <c r="T145" s="898">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899">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899">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899">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899">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900">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592"/>
      <c r="AA145" s="1623"/>
      <c r="AB145" s="1647"/>
    </row>
    <row r="146" spans="1:28" s="1563" customFormat="1" ht="24">
      <c r="A146" s="1650">
        <v>16</v>
      </c>
      <c r="B146" s="1595">
        <v>2040207</v>
      </c>
      <c r="C146" s="1596">
        <v>0.04</v>
      </c>
      <c r="D146" s="1546" t="s">
        <v>594</v>
      </c>
      <c r="E146" s="2169"/>
      <c r="F146" s="898">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15.46</v>
      </c>
      <c r="G146" s="899">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37.86</v>
      </c>
      <c r="H146" s="899">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46.860000000000007</v>
      </c>
      <c r="I146" s="899">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55.18</v>
      </c>
      <c r="J146" s="899">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67.12</v>
      </c>
      <c r="K146" s="899">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78.47999999999999</v>
      </c>
      <c r="L146" s="2169"/>
      <c r="M146" s="898">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899">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899">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899">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899">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900">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2169"/>
      <c r="T146" s="898">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2.4</v>
      </c>
      <c r="U146" s="899">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5.4799999999999995</v>
      </c>
      <c r="V146" s="899">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8.52</v>
      </c>
      <c r="W146" s="899">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12.28</v>
      </c>
      <c r="X146" s="899">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14.379999999999999</v>
      </c>
      <c r="Y146" s="900">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15.48</v>
      </c>
      <c r="Z146" s="1592"/>
      <c r="AA146" s="1623"/>
      <c r="AB146" s="1647"/>
    </row>
    <row r="147" spans="1:28" s="1563" customFormat="1">
      <c r="A147" s="1650">
        <v>17</v>
      </c>
      <c r="B147" s="1595">
        <v>2040208</v>
      </c>
      <c r="C147" s="1596">
        <v>0.04</v>
      </c>
      <c r="D147" s="1546" t="s">
        <v>595</v>
      </c>
      <c r="E147" s="2169"/>
      <c r="F147" s="898">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899">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899">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899">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899">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899">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169"/>
      <c r="M147" s="898">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899">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899">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899">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899">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900">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2169"/>
      <c r="T147" s="898">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899">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899">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899">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899">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900">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592"/>
      <c r="AA147" s="1623"/>
      <c r="AB147" s="1647"/>
    </row>
    <row r="148" spans="1:28" s="1563" customFormat="1">
      <c r="A148" s="1650">
        <v>18</v>
      </c>
      <c r="B148" s="1753" t="s">
        <v>1525</v>
      </c>
      <c r="C148" s="1596">
        <v>0.04</v>
      </c>
      <c r="D148" s="1648" t="s">
        <v>606</v>
      </c>
      <c r="E148" s="2169"/>
      <c r="F148" s="898">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899">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899">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899">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899">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899">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169"/>
      <c r="M148" s="898">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899">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899">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899">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899">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900">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2169"/>
      <c r="T148" s="898">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899">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899">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899">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899">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900">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592"/>
      <c r="AA148" s="1623"/>
      <c r="AB148" s="1647"/>
    </row>
    <row r="149" spans="1:28" s="1563" customFormat="1" ht="24.75" thickBot="1">
      <c r="A149" s="1650">
        <v>19</v>
      </c>
      <c r="B149" s="1595">
        <v>215</v>
      </c>
      <c r="C149" s="1600">
        <v>0.2</v>
      </c>
      <c r="D149" s="1546" t="s">
        <v>911</v>
      </c>
      <c r="E149" s="2169"/>
      <c r="F149" s="898">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899">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0</v>
      </c>
      <c r="H149" s="899">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6.2529693686184622</v>
      </c>
      <c r="I149" s="899">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21.119421430860072</v>
      </c>
      <c r="J149" s="899">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37.802372383244247</v>
      </c>
      <c r="K149" s="899">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51.963611751244905</v>
      </c>
      <c r="L149" s="2169"/>
      <c r="M149" s="904">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905">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0</v>
      </c>
      <c r="O149" s="905">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3.7925817878724728</v>
      </c>
      <c r="P149" s="905">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11.624937062296883</v>
      </c>
      <c r="Q149" s="905">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21.667099686947633</v>
      </c>
      <c r="R149" s="906">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30.809582131403808</v>
      </c>
      <c r="S149" s="2169"/>
      <c r="T149" s="898">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899">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v>
      </c>
      <c r="V149" s="899">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0.95444884350906423</v>
      </c>
      <c r="W149" s="899">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3.2556415068430447</v>
      </c>
      <c r="X149" s="899">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4.5305279298081222</v>
      </c>
      <c r="Y149" s="900">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5.2268061173512974</v>
      </c>
      <c r="Z149" s="1592"/>
      <c r="AA149" s="1623"/>
      <c r="AB149" s="1647"/>
    </row>
    <row r="150" spans="1:28" s="1563" customFormat="1" ht="13.5" thickBot="1">
      <c r="A150" s="1615" t="s">
        <v>282</v>
      </c>
      <c r="B150" s="1616"/>
      <c r="C150" s="1616"/>
      <c r="D150" s="1586" t="s">
        <v>283</v>
      </c>
      <c r="E150" s="1639">
        <f t="shared" ref="E150:Y150" si="74">SUM(E151:E169)</f>
        <v>0</v>
      </c>
      <c r="F150" s="1643">
        <f t="shared" si="74"/>
        <v>28.560000000000002</v>
      </c>
      <c r="G150" s="1644">
        <f t="shared" si="74"/>
        <v>111.07136902329383</v>
      </c>
      <c r="H150" s="1644">
        <f t="shared" si="74"/>
        <v>255.20691809601732</v>
      </c>
      <c r="I150" s="1645">
        <f t="shared" si="74"/>
        <v>484.3535201466421</v>
      </c>
      <c r="J150" s="1644">
        <f t="shared" si="74"/>
        <v>819.38801361939386</v>
      </c>
      <c r="K150" s="1644">
        <f t="shared" si="74"/>
        <v>1266.0005195417505</v>
      </c>
      <c r="L150" s="1639">
        <f t="shared" si="74"/>
        <v>0</v>
      </c>
      <c r="M150" s="1643">
        <f t="shared" si="74"/>
        <v>2.89</v>
      </c>
      <c r="N150" s="1644">
        <f t="shared" si="74"/>
        <v>8.9094769105026561</v>
      </c>
      <c r="O150" s="1644">
        <f t="shared" si="74"/>
        <v>25.358912209523282</v>
      </c>
      <c r="P150" s="1645">
        <f t="shared" si="74"/>
        <v>65.582520027530336</v>
      </c>
      <c r="Q150" s="1644">
        <f t="shared" si="74"/>
        <v>139.84077886007927</v>
      </c>
      <c r="R150" s="1644">
        <f t="shared" si="74"/>
        <v>249.69159815971025</v>
      </c>
      <c r="S150" s="1639">
        <f t="shared" si="74"/>
        <v>0</v>
      </c>
      <c r="T150" s="1640">
        <f t="shared" si="74"/>
        <v>3.9</v>
      </c>
      <c r="U150" s="1641">
        <f t="shared" si="74"/>
        <v>12.439154066203514</v>
      </c>
      <c r="V150" s="1641">
        <f t="shared" si="74"/>
        <v>26.254169694459399</v>
      </c>
      <c r="W150" s="1642">
        <f t="shared" si="74"/>
        <v>48.888959825827556</v>
      </c>
      <c r="X150" s="1641">
        <f t="shared" si="74"/>
        <v>76.586207520526969</v>
      </c>
      <c r="Y150" s="1646">
        <f t="shared" si="74"/>
        <v>107.6928822985393</v>
      </c>
      <c r="Z150" s="1587"/>
      <c r="AA150" s="1623"/>
      <c r="AB150" s="1647"/>
    </row>
    <row r="151" spans="1:28" s="1563" customFormat="1">
      <c r="A151" s="1594">
        <v>1</v>
      </c>
      <c r="B151" s="1589">
        <v>20102</v>
      </c>
      <c r="C151" s="1611">
        <v>0</v>
      </c>
      <c r="D151" s="279" t="s">
        <v>760</v>
      </c>
      <c r="E151" s="2169"/>
      <c r="F151" s="2628">
        <f t="shared" ref="F151:K152" si="75">E151+F131</f>
        <v>0</v>
      </c>
      <c r="G151" s="2629">
        <f t="shared" si="75"/>
        <v>0</v>
      </c>
      <c r="H151" s="2629">
        <f t="shared" si="75"/>
        <v>0</v>
      </c>
      <c r="I151" s="2629">
        <f t="shared" si="75"/>
        <v>0</v>
      </c>
      <c r="J151" s="2629">
        <f t="shared" si="75"/>
        <v>0</v>
      </c>
      <c r="K151" s="2630">
        <f t="shared" si="75"/>
        <v>0</v>
      </c>
      <c r="L151" s="2169"/>
      <c r="M151" s="2628">
        <f t="shared" ref="M151:R152" si="76">L151+M131</f>
        <v>0</v>
      </c>
      <c r="N151" s="2629">
        <f t="shared" si="76"/>
        <v>0</v>
      </c>
      <c r="O151" s="2629">
        <f t="shared" si="76"/>
        <v>0</v>
      </c>
      <c r="P151" s="2629">
        <f t="shared" si="76"/>
        <v>0</v>
      </c>
      <c r="Q151" s="2629">
        <f t="shared" si="76"/>
        <v>0</v>
      </c>
      <c r="R151" s="2630">
        <f t="shared" si="76"/>
        <v>0</v>
      </c>
      <c r="S151" s="2169"/>
      <c r="T151" s="2628">
        <f t="shared" ref="T151:Y152" si="77">S151+T131</f>
        <v>0</v>
      </c>
      <c r="U151" s="2629">
        <f t="shared" si="77"/>
        <v>0</v>
      </c>
      <c r="V151" s="2629">
        <f t="shared" si="77"/>
        <v>0</v>
      </c>
      <c r="W151" s="2629">
        <f t="shared" si="77"/>
        <v>0</v>
      </c>
      <c r="X151" s="2629">
        <f t="shared" si="77"/>
        <v>0</v>
      </c>
      <c r="Y151" s="2630">
        <f t="shared" si="77"/>
        <v>0</v>
      </c>
      <c r="Z151" s="1592"/>
      <c r="AA151" s="1623"/>
      <c r="AB151" s="1647"/>
    </row>
    <row r="152" spans="1:28" s="1563" customFormat="1">
      <c r="A152" s="1594">
        <v>2</v>
      </c>
      <c r="B152" s="1595">
        <v>20202</v>
      </c>
      <c r="C152" s="1596">
        <v>0.03</v>
      </c>
      <c r="D152" s="1648" t="s">
        <v>598</v>
      </c>
      <c r="E152" s="2169"/>
      <c r="F152" s="2631">
        <f t="shared" si="75"/>
        <v>0</v>
      </c>
      <c r="G152" s="2632">
        <f t="shared" si="75"/>
        <v>0.09</v>
      </c>
      <c r="H152" s="2632">
        <f t="shared" si="75"/>
        <v>0.41999999999999993</v>
      </c>
      <c r="I152" s="2632">
        <f t="shared" si="75"/>
        <v>1.4249999999999998</v>
      </c>
      <c r="J152" s="2632">
        <f t="shared" si="75"/>
        <v>3.4049999999999998</v>
      </c>
      <c r="K152" s="2633">
        <f t="shared" si="75"/>
        <v>6.2850000000000001</v>
      </c>
      <c r="L152" s="2169"/>
      <c r="M152" s="2631">
        <f t="shared" si="76"/>
        <v>0</v>
      </c>
      <c r="N152" s="2632">
        <f t="shared" si="76"/>
        <v>0</v>
      </c>
      <c r="O152" s="2632">
        <f t="shared" si="76"/>
        <v>0</v>
      </c>
      <c r="P152" s="2632">
        <f t="shared" si="76"/>
        <v>0</v>
      </c>
      <c r="Q152" s="2632">
        <f t="shared" si="76"/>
        <v>0</v>
      </c>
      <c r="R152" s="2633">
        <f t="shared" si="76"/>
        <v>0</v>
      </c>
      <c r="S152" s="2169"/>
      <c r="T152" s="2631">
        <f t="shared" si="77"/>
        <v>0</v>
      </c>
      <c r="U152" s="2632">
        <f t="shared" si="77"/>
        <v>0</v>
      </c>
      <c r="V152" s="2632">
        <f t="shared" si="77"/>
        <v>0</v>
      </c>
      <c r="W152" s="2632">
        <f t="shared" si="77"/>
        <v>0</v>
      </c>
      <c r="X152" s="2632">
        <f t="shared" si="77"/>
        <v>0</v>
      </c>
      <c r="Y152" s="2633">
        <f t="shared" si="77"/>
        <v>0</v>
      </c>
      <c r="Z152" s="1592"/>
      <c r="AA152" s="1623"/>
      <c r="AB152" s="1647"/>
    </row>
    <row r="153" spans="1:28" s="1563" customFormat="1">
      <c r="A153" s="1594">
        <v>3</v>
      </c>
      <c r="B153" s="1595">
        <v>2030401</v>
      </c>
      <c r="C153" s="1600">
        <v>0.1</v>
      </c>
      <c r="D153" s="1546" t="s">
        <v>1470</v>
      </c>
      <c r="E153" s="2169"/>
      <c r="F153" s="2631">
        <f t="shared" ref="F153:K153" si="78">E153+F133</f>
        <v>0</v>
      </c>
      <c r="G153" s="2632">
        <f t="shared" si="78"/>
        <v>0</v>
      </c>
      <c r="H153" s="2632">
        <f t="shared" si="78"/>
        <v>0</v>
      </c>
      <c r="I153" s="2632">
        <f t="shared" si="78"/>
        <v>0</v>
      </c>
      <c r="J153" s="2632">
        <f t="shared" si="78"/>
        <v>0</v>
      </c>
      <c r="K153" s="2633">
        <f t="shared" si="78"/>
        <v>0</v>
      </c>
      <c r="L153" s="2169"/>
      <c r="M153" s="2631">
        <f t="shared" ref="M153:R153" si="79">L153+M133</f>
        <v>0</v>
      </c>
      <c r="N153" s="2632">
        <f t="shared" si="79"/>
        <v>0</v>
      </c>
      <c r="O153" s="2632">
        <f t="shared" si="79"/>
        <v>0</v>
      </c>
      <c r="P153" s="2632">
        <f t="shared" si="79"/>
        <v>0</v>
      </c>
      <c r="Q153" s="2632">
        <f t="shared" si="79"/>
        <v>0</v>
      </c>
      <c r="R153" s="2633">
        <f t="shared" si="79"/>
        <v>0</v>
      </c>
      <c r="S153" s="2169"/>
      <c r="T153" s="2631">
        <f t="shared" ref="T153:Y153" si="80">S153+T133</f>
        <v>0</v>
      </c>
      <c r="U153" s="2632">
        <f t="shared" si="80"/>
        <v>0</v>
      </c>
      <c r="V153" s="2632">
        <f t="shared" si="80"/>
        <v>0</v>
      </c>
      <c r="W153" s="2632">
        <f t="shared" si="80"/>
        <v>0</v>
      </c>
      <c r="X153" s="2632">
        <f t="shared" si="80"/>
        <v>0</v>
      </c>
      <c r="Y153" s="2633">
        <f t="shared" si="80"/>
        <v>0</v>
      </c>
      <c r="Z153" s="1592"/>
      <c r="AA153" s="1623"/>
      <c r="AB153" s="1647"/>
    </row>
    <row r="154" spans="1:28" s="1563" customFormat="1">
      <c r="A154" s="1594">
        <v>4</v>
      </c>
      <c r="B154" s="1595">
        <v>2030402</v>
      </c>
      <c r="C154" s="1600">
        <v>0.1</v>
      </c>
      <c r="D154" s="1546" t="s">
        <v>601</v>
      </c>
      <c r="E154" s="2169"/>
      <c r="F154" s="2631">
        <f t="shared" ref="F154:K154" si="81">E154+F134</f>
        <v>0</v>
      </c>
      <c r="G154" s="2632">
        <f t="shared" si="81"/>
        <v>0</v>
      </c>
      <c r="H154" s="2632">
        <f t="shared" si="81"/>
        <v>0</v>
      </c>
      <c r="I154" s="2632">
        <f t="shared" si="81"/>
        <v>0</v>
      </c>
      <c r="J154" s="2632">
        <f t="shared" si="81"/>
        <v>0</v>
      </c>
      <c r="K154" s="2633">
        <f t="shared" si="81"/>
        <v>0</v>
      </c>
      <c r="L154" s="2169"/>
      <c r="M154" s="2631">
        <f t="shared" ref="M154:R154" si="82">L154+M134</f>
        <v>0</v>
      </c>
      <c r="N154" s="2632">
        <f t="shared" si="82"/>
        <v>0</v>
      </c>
      <c r="O154" s="2632">
        <f t="shared" si="82"/>
        <v>0</v>
      </c>
      <c r="P154" s="2632">
        <f t="shared" si="82"/>
        <v>0</v>
      </c>
      <c r="Q154" s="2632">
        <f t="shared" si="82"/>
        <v>0</v>
      </c>
      <c r="R154" s="2633">
        <f t="shared" si="82"/>
        <v>0</v>
      </c>
      <c r="S154" s="2169"/>
      <c r="T154" s="2631">
        <f t="shared" ref="T154:Y154" si="83">S154+T134</f>
        <v>0</v>
      </c>
      <c r="U154" s="2632">
        <f t="shared" si="83"/>
        <v>0</v>
      </c>
      <c r="V154" s="2632">
        <f t="shared" si="83"/>
        <v>0</v>
      </c>
      <c r="W154" s="2632">
        <f t="shared" si="83"/>
        <v>0</v>
      </c>
      <c r="X154" s="2632">
        <f t="shared" si="83"/>
        <v>0</v>
      </c>
      <c r="Y154" s="2633">
        <f t="shared" si="83"/>
        <v>0</v>
      </c>
      <c r="Z154" s="1592"/>
      <c r="AA154" s="1623"/>
      <c r="AB154" s="1647"/>
    </row>
    <row r="155" spans="1:28" s="1563" customFormat="1">
      <c r="A155" s="1594">
        <v>5</v>
      </c>
      <c r="B155" s="1595">
        <v>2030501</v>
      </c>
      <c r="C155" s="1600">
        <v>0.1</v>
      </c>
      <c r="D155" s="1546" t="s">
        <v>580</v>
      </c>
      <c r="E155" s="2169"/>
      <c r="F155" s="2631">
        <f t="shared" ref="F155:K155" si="84">E155+F135</f>
        <v>0.95000000000000007</v>
      </c>
      <c r="G155" s="2632">
        <f t="shared" si="84"/>
        <v>8.7513690232938295</v>
      </c>
      <c r="H155" s="2632">
        <f t="shared" si="84"/>
        <v>36.833948727398848</v>
      </c>
      <c r="I155" s="2632">
        <f t="shared" si="84"/>
        <v>95.466129347163573</v>
      </c>
      <c r="J155" s="2632">
        <f t="shared" si="84"/>
        <v>193.96825043667098</v>
      </c>
      <c r="K155" s="2633">
        <f t="shared" si="84"/>
        <v>341.00714460778278</v>
      </c>
      <c r="L155" s="2169"/>
      <c r="M155" s="2631">
        <f t="shared" ref="M155:R155" si="85">L155+M135</f>
        <v>0</v>
      </c>
      <c r="N155" s="2632">
        <f t="shared" si="85"/>
        <v>0.2394769105026564</v>
      </c>
      <c r="O155" s="2632">
        <f t="shared" si="85"/>
        <v>5.5663304216508118</v>
      </c>
      <c r="P155" s="2632">
        <f t="shared" si="85"/>
        <v>17.685001177360981</v>
      </c>
      <c r="Q155" s="2632">
        <f t="shared" si="85"/>
        <v>37.696160322962271</v>
      </c>
      <c r="R155" s="2633">
        <f t="shared" si="85"/>
        <v>67.157397491189442</v>
      </c>
      <c r="S155" s="2169"/>
      <c r="T155" s="2631">
        <f t="shared" ref="T155:Y155" si="86">S155+T135</f>
        <v>0</v>
      </c>
      <c r="U155" s="2632">
        <f t="shared" si="86"/>
        <v>5.9154066203514502E-2</v>
      </c>
      <c r="V155" s="2632">
        <f t="shared" si="86"/>
        <v>1.3997208509503367</v>
      </c>
      <c r="W155" s="2632">
        <f t="shared" si="86"/>
        <v>5.498869475475443</v>
      </c>
      <c r="X155" s="2632">
        <f t="shared" si="86"/>
        <v>11.285589240366726</v>
      </c>
      <c r="Y155" s="2633">
        <f t="shared" si="86"/>
        <v>18.685457901027775</v>
      </c>
      <c r="Z155" s="1592"/>
      <c r="AA155" s="1623"/>
      <c r="AB155" s="1647"/>
    </row>
    <row r="156" spans="1:28" s="1563" customFormat="1" ht="24">
      <c r="A156" s="1594">
        <v>6</v>
      </c>
      <c r="B156" s="1595">
        <v>2030502</v>
      </c>
      <c r="C156" s="1600">
        <v>0.1</v>
      </c>
      <c r="D156" s="1546" t="s">
        <v>948</v>
      </c>
      <c r="E156" s="2169"/>
      <c r="F156" s="2631">
        <f t="shared" ref="F156:K156" si="87">E156+F136</f>
        <v>0</v>
      </c>
      <c r="G156" s="2632">
        <f t="shared" si="87"/>
        <v>4.6000000000000005</v>
      </c>
      <c r="H156" s="2632">
        <f t="shared" si="87"/>
        <v>13.8</v>
      </c>
      <c r="I156" s="2632">
        <f t="shared" si="87"/>
        <v>26.75</v>
      </c>
      <c r="J156" s="2632">
        <f t="shared" si="87"/>
        <v>46.95</v>
      </c>
      <c r="K156" s="2633">
        <f t="shared" si="87"/>
        <v>74.150000000000006</v>
      </c>
      <c r="L156" s="2169"/>
      <c r="M156" s="2631">
        <f t="shared" ref="M156:R156" si="88">L156+M136</f>
        <v>0</v>
      </c>
      <c r="N156" s="2632">
        <f t="shared" si="88"/>
        <v>0</v>
      </c>
      <c r="O156" s="2632">
        <f t="shared" si="88"/>
        <v>0</v>
      </c>
      <c r="P156" s="2632">
        <f t="shared" si="88"/>
        <v>0</v>
      </c>
      <c r="Q156" s="2632">
        <f t="shared" si="88"/>
        <v>0</v>
      </c>
      <c r="R156" s="2633">
        <f t="shared" si="88"/>
        <v>0</v>
      </c>
      <c r="S156" s="2169"/>
      <c r="T156" s="2631">
        <f t="shared" ref="T156:Y156" si="89">S156+T136</f>
        <v>0</v>
      </c>
      <c r="U156" s="2632">
        <f t="shared" si="89"/>
        <v>0</v>
      </c>
      <c r="V156" s="2632">
        <f t="shared" si="89"/>
        <v>0</v>
      </c>
      <c r="W156" s="2632">
        <f t="shared" si="89"/>
        <v>0</v>
      </c>
      <c r="X156" s="2632">
        <f t="shared" si="89"/>
        <v>0</v>
      </c>
      <c r="Y156" s="2633">
        <f t="shared" si="89"/>
        <v>0</v>
      </c>
      <c r="Z156" s="1592"/>
      <c r="AA156" s="1623"/>
      <c r="AB156" s="1647"/>
    </row>
    <row r="157" spans="1:28" s="1563" customFormat="1">
      <c r="A157" s="1594">
        <v>7</v>
      </c>
      <c r="B157" s="1595">
        <v>2030503</v>
      </c>
      <c r="C157" s="1600">
        <v>0.1</v>
      </c>
      <c r="D157" s="1546" t="s">
        <v>966</v>
      </c>
      <c r="E157" s="2169"/>
      <c r="F157" s="2631">
        <f t="shared" ref="F157:K157" si="90">E157+F137</f>
        <v>0.05</v>
      </c>
      <c r="G157" s="2632">
        <f t="shared" si="90"/>
        <v>0.15000000000000002</v>
      </c>
      <c r="H157" s="2632">
        <f t="shared" si="90"/>
        <v>0.25</v>
      </c>
      <c r="I157" s="2632">
        <f t="shared" si="90"/>
        <v>2.7500000000000004</v>
      </c>
      <c r="J157" s="2632">
        <f t="shared" si="90"/>
        <v>10.15</v>
      </c>
      <c r="K157" s="2633">
        <f t="shared" si="90"/>
        <v>22.8</v>
      </c>
      <c r="L157" s="2169"/>
      <c r="M157" s="2631">
        <f t="shared" ref="M157:R157" si="91">L157+M137</f>
        <v>2.0500000000000003</v>
      </c>
      <c r="N157" s="2632">
        <f t="shared" si="91"/>
        <v>6.15</v>
      </c>
      <c r="O157" s="2632">
        <f t="shared" si="91"/>
        <v>10.25</v>
      </c>
      <c r="P157" s="2632">
        <f t="shared" si="91"/>
        <v>16.850000000000001</v>
      </c>
      <c r="Q157" s="2632">
        <f t="shared" si="91"/>
        <v>26.700000000000003</v>
      </c>
      <c r="R157" s="2633">
        <f t="shared" si="91"/>
        <v>38.050000000000004</v>
      </c>
      <c r="S157" s="2169"/>
      <c r="T157" s="2631">
        <f t="shared" ref="T157:Y157" si="92">S157+T137</f>
        <v>1.5</v>
      </c>
      <c r="U157" s="2632">
        <f t="shared" si="92"/>
        <v>4.5</v>
      </c>
      <c r="V157" s="2632">
        <f t="shared" si="92"/>
        <v>7.5</v>
      </c>
      <c r="W157" s="2632">
        <f t="shared" si="92"/>
        <v>10.5</v>
      </c>
      <c r="X157" s="2632">
        <f t="shared" si="92"/>
        <v>13.5</v>
      </c>
      <c r="Y157" s="2633">
        <f t="shared" si="92"/>
        <v>16.5</v>
      </c>
      <c r="Z157" s="1592"/>
      <c r="AA157" s="1623"/>
      <c r="AB157" s="1647"/>
    </row>
    <row r="158" spans="1:28" s="1563" customFormat="1">
      <c r="A158" s="1594">
        <v>8</v>
      </c>
      <c r="B158" s="1595">
        <v>2040101</v>
      </c>
      <c r="C158" s="1649">
        <v>0.1</v>
      </c>
      <c r="D158" s="1558" t="s">
        <v>1442</v>
      </c>
      <c r="E158" s="2169"/>
      <c r="F158" s="2631">
        <f t="shared" ref="F158:K169" si="93">E158+F138</f>
        <v>0</v>
      </c>
      <c r="G158" s="2632">
        <f t="shared" si="93"/>
        <v>0</v>
      </c>
      <c r="H158" s="2632">
        <f t="shared" si="93"/>
        <v>0</v>
      </c>
      <c r="I158" s="2632">
        <f t="shared" si="93"/>
        <v>0</v>
      </c>
      <c r="J158" s="2632">
        <f t="shared" si="93"/>
        <v>0</v>
      </c>
      <c r="K158" s="2633">
        <f t="shared" si="93"/>
        <v>0</v>
      </c>
      <c r="L158" s="2169"/>
      <c r="M158" s="2631">
        <f t="shared" ref="M158:R169" si="94">L158+M138</f>
        <v>0</v>
      </c>
      <c r="N158" s="2632">
        <f t="shared" si="94"/>
        <v>0</v>
      </c>
      <c r="O158" s="2632">
        <f t="shared" si="94"/>
        <v>0</v>
      </c>
      <c r="P158" s="2632">
        <f t="shared" si="94"/>
        <v>0</v>
      </c>
      <c r="Q158" s="2632">
        <f t="shared" si="94"/>
        <v>0</v>
      </c>
      <c r="R158" s="2633">
        <f t="shared" si="94"/>
        <v>0</v>
      </c>
      <c r="S158" s="2169"/>
      <c r="T158" s="2631">
        <f t="shared" ref="T158:Y169" si="95">S158+T138</f>
        <v>0</v>
      </c>
      <c r="U158" s="2632">
        <f t="shared" si="95"/>
        <v>0</v>
      </c>
      <c r="V158" s="2632">
        <f t="shared" si="95"/>
        <v>0</v>
      </c>
      <c r="W158" s="2632">
        <f t="shared" si="95"/>
        <v>0</v>
      </c>
      <c r="X158" s="2632">
        <f t="shared" si="95"/>
        <v>0</v>
      </c>
      <c r="Y158" s="2633">
        <f t="shared" si="95"/>
        <v>0</v>
      </c>
      <c r="Z158" s="1592"/>
      <c r="AA158" s="1623"/>
      <c r="AB158" s="1647"/>
    </row>
    <row r="159" spans="1:28" s="1563" customFormat="1">
      <c r="A159" s="1650">
        <v>9</v>
      </c>
      <c r="B159" s="1595">
        <v>2040102</v>
      </c>
      <c r="C159" s="1649">
        <v>0.04</v>
      </c>
      <c r="D159" s="1558" t="s">
        <v>604</v>
      </c>
      <c r="E159" s="2169"/>
      <c r="F159" s="2631">
        <f t="shared" si="93"/>
        <v>0</v>
      </c>
      <c r="G159" s="2632">
        <f t="shared" si="93"/>
        <v>0</v>
      </c>
      <c r="H159" s="2632">
        <f t="shared" si="93"/>
        <v>0</v>
      </c>
      <c r="I159" s="2632">
        <f t="shared" si="93"/>
        <v>0</v>
      </c>
      <c r="J159" s="2632">
        <f t="shared" si="93"/>
        <v>0</v>
      </c>
      <c r="K159" s="2633">
        <f t="shared" si="93"/>
        <v>0</v>
      </c>
      <c r="L159" s="2169"/>
      <c r="M159" s="2631">
        <f t="shared" si="94"/>
        <v>0</v>
      </c>
      <c r="N159" s="2632">
        <f t="shared" si="94"/>
        <v>0</v>
      </c>
      <c r="O159" s="2632">
        <f t="shared" si="94"/>
        <v>0</v>
      </c>
      <c r="P159" s="2632">
        <f t="shared" si="94"/>
        <v>0</v>
      </c>
      <c r="Q159" s="2632">
        <f t="shared" si="94"/>
        <v>0</v>
      </c>
      <c r="R159" s="2633">
        <f t="shared" si="94"/>
        <v>0</v>
      </c>
      <c r="S159" s="2169"/>
      <c r="T159" s="2631">
        <f t="shared" si="95"/>
        <v>0</v>
      </c>
      <c r="U159" s="2632">
        <f t="shared" si="95"/>
        <v>0</v>
      </c>
      <c r="V159" s="2632">
        <f t="shared" si="95"/>
        <v>0</v>
      </c>
      <c r="W159" s="2632">
        <f t="shared" si="95"/>
        <v>0</v>
      </c>
      <c r="X159" s="2632">
        <f t="shared" si="95"/>
        <v>0</v>
      </c>
      <c r="Y159" s="2633">
        <f t="shared" si="95"/>
        <v>0</v>
      </c>
      <c r="Z159" s="1592"/>
      <c r="AA159" s="1623"/>
      <c r="AB159" s="1647"/>
    </row>
    <row r="160" spans="1:28" s="1563" customFormat="1">
      <c r="A160" s="1650">
        <v>10</v>
      </c>
      <c r="B160" s="1595">
        <v>2040201</v>
      </c>
      <c r="C160" s="1596">
        <v>0.02</v>
      </c>
      <c r="D160" s="1544" t="s">
        <v>1007</v>
      </c>
      <c r="E160" s="2169"/>
      <c r="F160" s="2631">
        <f t="shared" si="93"/>
        <v>0</v>
      </c>
      <c r="G160" s="2632">
        <f t="shared" si="93"/>
        <v>0.14000000000000001</v>
      </c>
      <c r="H160" s="2632">
        <f t="shared" si="93"/>
        <v>0.42000000000000004</v>
      </c>
      <c r="I160" s="2632">
        <f t="shared" si="93"/>
        <v>0.70000000000000007</v>
      </c>
      <c r="J160" s="2632">
        <f t="shared" si="93"/>
        <v>0.98000000000000009</v>
      </c>
      <c r="K160" s="2633">
        <f t="shared" si="93"/>
        <v>1.2600000000000002</v>
      </c>
      <c r="L160" s="2169"/>
      <c r="M160" s="2631">
        <f t="shared" si="94"/>
        <v>0</v>
      </c>
      <c r="N160" s="2632">
        <f t="shared" si="94"/>
        <v>0</v>
      </c>
      <c r="O160" s="2632">
        <f t="shared" si="94"/>
        <v>0</v>
      </c>
      <c r="P160" s="2632">
        <f t="shared" si="94"/>
        <v>0</v>
      </c>
      <c r="Q160" s="2632">
        <f t="shared" si="94"/>
        <v>0</v>
      </c>
      <c r="R160" s="2633">
        <f t="shared" si="94"/>
        <v>0</v>
      </c>
      <c r="S160" s="2169"/>
      <c r="T160" s="2631">
        <f t="shared" si="95"/>
        <v>0</v>
      </c>
      <c r="U160" s="2632">
        <f t="shared" si="95"/>
        <v>0</v>
      </c>
      <c r="V160" s="2632">
        <f t="shared" si="95"/>
        <v>0</v>
      </c>
      <c r="W160" s="2632">
        <f t="shared" si="95"/>
        <v>0</v>
      </c>
      <c r="X160" s="2632">
        <f t="shared" si="95"/>
        <v>0</v>
      </c>
      <c r="Y160" s="2633">
        <f t="shared" si="95"/>
        <v>0</v>
      </c>
      <c r="Z160" s="1592"/>
      <c r="AA160" s="1623"/>
      <c r="AB160" s="1647"/>
    </row>
    <row r="161" spans="1:28" s="1563" customFormat="1">
      <c r="A161" s="1650">
        <v>11</v>
      </c>
      <c r="B161" s="1595">
        <v>2040202</v>
      </c>
      <c r="C161" s="1596">
        <v>0.02</v>
      </c>
      <c r="D161" s="1544" t="s">
        <v>1008</v>
      </c>
      <c r="E161" s="2169"/>
      <c r="F161" s="2631">
        <f t="shared" si="93"/>
        <v>0</v>
      </c>
      <c r="G161" s="2632">
        <f t="shared" si="93"/>
        <v>0</v>
      </c>
      <c r="H161" s="2632">
        <f t="shared" si="93"/>
        <v>0.02</v>
      </c>
      <c r="I161" s="2632">
        <f t="shared" si="93"/>
        <v>0.36</v>
      </c>
      <c r="J161" s="2632">
        <f t="shared" si="93"/>
        <v>1.2999999999999998</v>
      </c>
      <c r="K161" s="2633">
        <f t="shared" si="93"/>
        <v>2.84</v>
      </c>
      <c r="L161" s="2169"/>
      <c r="M161" s="2631">
        <f t="shared" si="94"/>
        <v>0</v>
      </c>
      <c r="N161" s="2632">
        <f t="shared" si="94"/>
        <v>0</v>
      </c>
      <c r="O161" s="2632">
        <f t="shared" si="94"/>
        <v>0</v>
      </c>
      <c r="P161" s="2632">
        <f t="shared" si="94"/>
        <v>0</v>
      </c>
      <c r="Q161" s="2632">
        <f t="shared" si="94"/>
        <v>0</v>
      </c>
      <c r="R161" s="2633">
        <f t="shared" si="94"/>
        <v>0</v>
      </c>
      <c r="S161" s="2169"/>
      <c r="T161" s="2631">
        <f t="shared" si="95"/>
        <v>0</v>
      </c>
      <c r="U161" s="2632">
        <f t="shared" si="95"/>
        <v>0</v>
      </c>
      <c r="V161" s="2632">
        <f t="shared" si="95"/>
        <v>0</v>
      </c>
      <c r="W161" s="2632">
        <f t="shared" si="95"/>
        <v>0</v>
      </c>
      <c r="X161" s="2632">
        <f t="shared" si="95"/>
        <v>0</v>
      </c>
      <c r="Y161" s="2633">
        <f t="shared" si="95"/>
        <v>0</v>
      </c>
      <c r="Z161" s="1592"/>
      <c r="AA161" s="1623"/>
      <c r="AB161" s="1647"/>
    </row>
    <row r="162" spans="1:28" s="1563" customFormat="1">
      <c r="A162" s="1650">
        <v>12</v>
      </c>
      <c r="B162" s="1595">
        <v>2040203</v>
      </c>
      <c r="C162" s="1596">
        <v>0.02</v>
      </c>
      <c r="D162" s="1544" t="s">
        <v>590</v>
      </c>
      <c r="E162" s="2169"/>
      <c r="F162" s="2631">
        <f t="shared" si="93"/>
        <v>0</v>
      </c>
      <c r="G162" s="2632">
        <f t="shared" si="93"/>
        <v>0</v>
      </c>
      <c r="H162" s="2632">
        <f t="shared" si="93"/>
        <v>0</v>
      </c>
      <c r="I162" s="2632">
        <f t="shared" si="93"/>
        <v>0</v>
      </c>
      <c r="J162" s="2632">
        <f t="shared" si="93"/>
        <v>0</v>
      </c>
      <c r="K162" s="2633">
        <f t="shared" si="93"/>
        <v>0</v>
      </c>
      <c r="L162" s="2169"/>
      <c r="M162" s="2631">
        <f t="shared" si="94"/>
        <v>0</v>
      </c>
      <c r="N162" s="2632">
        <f t="shared" si="94"/>
        <v>0</v>
      </c>
      <c r="O162" s="2632">
        <f t="shared" si="94"/>
        <v>0</v>
      </c>
      <c r="P162" s="2632">
        <f t="shared" si="94"/>
        <v>0</v>
      </c>
      <c r="Q162" s="2632">
        <f t="shared" si="94"/>
        <v>0</v>
      </c>
      <c r="R162" s="2633">
        <f t="shared" si="94"/>
        <v>0</v>
      </c>
      <c r="S162" s="2169"/>
      <c r="T162" s="2631">
        <f t="shared" si="95"/>
        <v>0</v>
      </c>
      <c r="U162" s="2632">
        <f t="shared" si="95"/>
        <v>0</v>
      </c>
      <c r="V162" s="2632">
        <f t="shared" si="95"/>
        <v>0</v>
      </c>
      <c r="W162" s="2632">
        <f t="shared" si="95"/>
        <v>0</v>
      </c>
      <c r="X162" s="2632">
        <f t="shared" si="95"/>
        <v>0</v>
      </c>
      <c r="Y162" s="2633">
        <f t="shared" si="95"/>
        <v>0</v>
      </c>
      <c r="Z162" s="1592"/>
      <c r="AA162" s="1623"/>
      <c r="AB162" s="1647"/>
    </row>
    <row r="163" spans="1:28" s="1563" customFormat="1">
      <c r="A163" s="1650">
        <v>13</v>
      </c>
      <c r="B163" s="1595">
        <v>2040204</v>
      </c>
      <c r="C163" s="1596">
        <v>0.02</v>
      </c>
      <c r="D163" s="1558" t="s">
        <v>591</v>
      </c>
      <c r="E163" s="2169"/>
      <c r="F163" s="2631">
        <f t="shared" si="93"/>
        <v>0</v>
      </c>
      <c r="G163" s="2632">
        <f t="shared" si="93"/>
        <v>0</v>
      </c>
      <c r="H163" s="2632">
        <f t="shared" si="93"/>
        <v>0</v>
      </c>
      <c r="I163" s="2632">
        <f t="shared" si="93"/>
        <v>0.2</v>
      </c>
      <c r="J163" s="2632">
        <f t="shared" si="93"/>
        <v>0.8</v>
      </c>
      <c r="K163" s="2633">
        <f t="shared" si="93"/>
        <v>1.8</v>
      </c>
      <c r="L163" s="2169"/>
      <c r="M163" s="2631">
        <f t="shared" si="94"/>
        <v>0</v>
      </c>
      <c r="N163" s="2632">
        <f t="shared" si="94"/>
        <v>0</v>
      </c>
      <c r="O163" s="2632">
        <f t="shared" si="94"/>
        <v>0</v>
      </c>
      <c r="P163" s="2632">
        <f t="shared" si="94"/>
        <v>0</v>
      </c>
      <c r="Q163" s="2632">
        <f t="shared" si="94"/>
        <v>0</v>
      </c>
      <c r="R163" s="2633">
        <f t="shared" si="94"/>
        <v>0</v>
      </c>
      <c r="S163" s="2169"/>
      <c r="T163" s="2631">
        <f t="shared" si="95"/>
        <v>0</v>
      </c>
      <c r="U163" s="2632">
        <f t="shared" si="95"/>
        <v>0</v>
      </c>
      <c r="V163" s="2632">
        <f t="shared" si="95"/>
        <v>0</v>
      </c>
      <c r="W163" s="2632">
        <f t="shared" si="95"/>
        <v>0</v>
      </c>
      <c r="X163" s="2632">
        <f t="shared" si="95"/>
        <v>0</v>
      </c>
      <c r="Y163" s="2633">
        <f t="shared" si="95"/>
        <v>0</v>
      </c>
      <c r="Z163" s="1592"/>
      <c r="AA163" s="1623"/>
      <c r="AB163" s="1647"/>
    </row>
    <row r="164" spans="1:28" s="1563" customFormat="1">
      <c r="A164" s="1650">
        <v>14</v>
      </c>
      <c r="B164" s="1595">
        <v>2040205</v>
      </c>
      <c r="C164" s="1596">
        <v>0.02</v>
      </c>
      <c r="D164" s="1544" t="s">
        <v>592</v>
      </c>
      <c r="E164" s="2169"/>
      <c r="F164" s="2631">
        <f t="shared" si="93"/>
        <v>12.1</v>
      </c>
      <c r="G164" s="2632">
        <f t="shared" si="93"/>
        <v>44.019999999999996</v>
      </c>
      <c r="H164" s="2632">
        <f t="shared" si="93"/>
        <v>97.03</v>
      </c>
      <c r="I164" s="2632">
        <f t="shared" si="93"/>
        <v>173.97</v>
      </c>
      <c r="J164" s="2632">
        <f t="shared" si="93"/>
        <v>274.18</v>
      </c>
      <c r="K164" s="2633">
        <f t="shared" si="93"/>
        <v>397.76</v>
      </c>
      <c r="L164" s="2169"/>
      <c r="M164" s="2631">
        <f t="shared" si="94"/>
        <v>0</v>
      </c>
      <c r="N164" s="2632">
        <f t="shared" si="94"/>
        <v>0</v>
      </c>
      <c r="O164" s="2632">
        <f t="shared" si="94"/>
        <v>0</v>
      </c>
      <c r="P164" s="2632">
        <f t="shared" si="94"/>
        <v>0</v>
      </c>
      <c r="Q164" s="2632">
        <f t="shared" si="94"/>
        <v>0</v>
      </c>
      <c r="R164" s="2633">
        <f t="shared" si="94"/>
        <v>0</v>
      </c>
      <c r="S164" s="2169"/>
      <c r="T164" s="2631">
        <f t="shared" si="95"/>
        <v>0</v>
      </c>
      <c r="U164" s="2632">
        <f t="shared" si="95"/>
        <v>0</v>
      </c>
      <c r="V164" s="2632">
        <f t="shared" si="95"/>
        <v>0</v>
      </c>
      <c r="W164" s="2632">
        <f t="shared" si="95"/>
        <v>0</v>
      </c>
      <c r="X164" s="2632">
        <f t="shared" si="95"/>
        <v>0</v>
      </c>
      <c r="Y164" s="2633">
        <f t="shared" si="95"/>
        <v>0</v>
      </c>
      <c r="Z164" s="1592"/>
      <c r="AA164" s="1623"/>
      <c r="AB164" s="1647"/>
    </row>
    <row r="165" spans="1:28" s="1563" customFormat="1">
      <c r="A165" s="1650">
        <v>15</v>
      </c>
      <c r="B165" s="1595">
        <v>2040206</v>
      </c>
      <c r="C165" s="1596">
        <v>0.02</v>
      </c>
      <c r="D165" s="1546" t="s">
        <v>593</v>
      </c>
      <c r="E165" s="2169"/>
      <c r="F165" s="2631">
        <f t="shared" si="93"/>
        <v>0</v>
      </c>
      <c r="G165" s="2632">
        <f t="shared" si="93"/>
        <v>0</v>
      </c>
      <c r="H165" s="2632">
        <f t="shared" si="93"/>
        <v>0</v>
      </c>
      <c r="I165" s="2632">
        <f t="shared" si="93"/>
        <v>0</v>
      </c>
      <c r="J165" s="2632">
        <f t="shared" si="93"/>
        <v>0</v>
      </c>
      <c r="K165" s="2633">
        <f t="shared" si="93"/>
        <v>0</v>
      </c>
      <c r="L165" s="2169"/>
      <c r="M165" s="2631">
        <f t="shared" si="94"/>
        <v>0.84</v>
      </c>
      <c r="N165" s="2632">
        <f t="shared" si="94"/>
        <v>2.52</v>
      </c>
      <c r="O165" s="2632">
        <f t="shared" si="94"/>
        <v>5.75</v>
      </c>
      <c r="P165" s="2632">
        <f t="shared" si="94"/>
        <v>15.63</v>
      </c>
      <c r="Q165" s="2632">
        <f t="shared" si="94"/>
        <v>38.36</v>
      </c>
      <c r="R165" s="2633">
        <f t="shared" si="94"/>
        <v>76.59</v>
      </c>
      <c r="S165" s="2169"/>
      <c r="T165" s="2631">
        <f t="shared" si="95"/>
        <v>0</v>
      </c>
      <c r="U165" s="2632">
        <f t="shared" si="95"/>
        <v>0</v>
      </c>
      <c r="V165" s="2632">
        <f t="shared" si="95"/>
        <v>0</v>
      </c>
      <c r="W165" s="2632">
        <f t="shared" si="95"/>
        <v>0</v>
      </c>
      <c r="X165" s="2632">
        <f t="shared" si="95"/>
        <v>0</v>
      </c>
      <c r="Y165" s="2633">
        <f t="shared" si="95"/>
        <v>0</v>
      </c>
      <c r="Z165" s="1592"/>
      <c r="AA165" s="1623"/>
      <c r="AB165" s="1647"/>
    </row>
    <row r="166" spans="1:28" s="1563" customFormat="1" ht="24">
      <c r="A166" s="1650">
        <v>16</v>
      </c>
      <c r="B166" s="1595">
        <v>2040207</v>
      </c>
      <c r="C166" s="1596">
        <v>0.04</v>
      </c>
      <c r="D166" s="1546" t="s">
        <v>594</v>
      </c>
      <c r="E166" s="2169"/>
      <c r="F166" s="2631">
        <f t="shared" si="93"/>
        <v>15.46</v>
      </c>
      <c r="G166" s="2632">
        <f t="shared" si="93"/>
        <v>53.32</v>
      </c>
      <c r="H166" s="2632">
        <f t="shared" si="93"/>
        <v>100.18</v>
      </c>
      <c r="I166" s="2632">
        <f t="shared" si="93"/>
        <v>155.36000000000001</v>
      </c>
      <c r="J166" s="2632">
        <f t="shared" si="93"/>
        <v>222.48000000000002</v>
      </c>
      <c r="K166" s="2633">
        <f t="shared" si="93"/>
        <v>300.96000000000004</v>
      </c>
      <c r="L166" s="2169"/>
      <c r="M166" s="2631">
        <f t="shared" si="94"/>
        <v>0</v>
      </c>
      <c r="N166" s="2632">
        <f t="shared" si="94"/>
        <v>0</v>
      </c>
      <c r="O166" s="2632">
        <f t="shared" si="94"/>
        <v>0</v>
      </c>
      <c r="P166" s="2632">
        <f t="shared" si="94"/>
        <v>0</v>
      </c>
      <c r="Q166" s="2632">
        <f t="shared" si="94"/>
        <v>0</v>
      </c>
      <c r="R166" s="2633">
        <f t="shared" si="94"/>
        <v>0</v>
      </c>
      <c r="S166" s="2169"/>
      <c r="T166" s="2631">
        <f t="shared" si="95"/>
        <v>2.4</v>
      </c>
      <c r="U166" s="2632">
        <f t="shared" si="95"/>
        <v>7.879999999999999</v>
      </c>
      <c r="V166" s="2632">
        <f t="shared" si="95"/>
        <v>16.399999999999999</v>
      </c>
      <c r="W166" s="2632">
        <f t="shared" si="95"/>
        <v>28.68</v>
      </c>
      <c r="X166" s="2632">
        <f t="shared" si="95"/>
        <v>43.06</v>
      </c>
      <c r="Y166" s="2633">
        <f t="shared" si="95"/>
        <v>58.540000000000006</v>
      </c>
      <c r="Z166" s="1592"/>
      <c r="AA166" s="1623"/>
      <c r="AB166" s="1647"/>
    </row>
    <row r="167" spans="1:28" s="1563" customFormat="1">
      <c r="A167" s="1650">
        <v>17</v>
      </c>
      <c r="B167" s="1595">
        <v>2040208</v>
      </c>
      <c r="C167" s="1596">
        <v>0.04</v>
      </c>
      <c r="D167" s="1546" t="s">
        <v>595</v>
      </c>
      <c r="E167" s="2169"/>
      <c r="F167" s="2631">
        <f t="shared" si="93"/>
        <v>0</v>
      </c>
      <c r="G167" s="2632">
        <f t="shared" si="93"/>
        <v>0</v>
      </c>
      <c r="H167" s="2632">
        <f t="shared" si="93"/>
        <v>0</v>
      </c>
      <c r="I167" s="2632">
        <f t="shared" si="93"/>
        <v>0</v>
      </c>
      <c r="J167" s="2632">
        <f t="shared" si="93"/>
        <v>0</v>
      </c>
      <c r="K167" s="2633">
        <f t="shared" si="93"/>
        <v>0</v>
      </c>
      <c r="L167" s="2169"/>
      <c r="M167" s="2631">
        <f t="shared" si="94"/>
        <v>0</v>
      </c>
      <c r="N167" s="2632">
        <f t="shared" si="94"/>
        <v>0</v>
      </c>
      <c r="O167" s="2632">
        <f t="shared" si="94"/>
        <v>0</v>
      </c>
      <c r="P167" s="2632">
        <f t="shared" si="94"/>
        <v>0</v>
      </c>
      <c r="Q167" s="2632">
        <f t="shared" si="94"/>
        <v>0</v>
      </c>
      <c r="R167" s="2633">
        <f t="shared" si="94"/>
        <v>0</v>
      </c>
      <c r="S167" s="2169"/>
      <c r="T167" s="2631">
        <f t="shared" si="95"/>
        <v>0</v>
      </c>
      <c r="U167" s="2632">
        <f t="shared" si="95"/>
        <v>0</v>
      </c>
      <c r="V167" s="2632">
        <f t="shared" si="95"/>
        <v>0</v>
      </c>
      <c r="W167" s="2632">
        <f t="shared" si="95"/>
        <v>0</v>
      </c>
      <c r="X167" s="2632">
        <f t="shared" si="95"/>
        <v>0</v>
      </c>
      <c r="Y167" s="2633">
        <f t="shared" si="95"/>
        <v>0</v>
      </c>
      <c r="Z167" s="1592"/>
      <c r="AA167" s="1623"/>
      <c r="AB167" s="1647"/>
    </row>
    <row r="168" spans="1:28" s="1563" customFormat="1">
      <c r="A168" s="1650">
        <v>18</v>
      </c>
      <c r="B168" s="1753" t="s">
        <v>1525</v>
      </c>
      <c r="C168" s="1596">
        <v>0.04</v>
      </c>
      <c r="D168" s="1648" t="s">
        <v>606</v>
      </c>
      <c r="E168" s="2169"/>
      <c r="F168" s="2631">
        <f t="shared" si="93"/>
        <v>0</v>
      </c>
      <c r="G168" s="2632">
        <f t="shared" si="93"/>
        <v>0</v>
      </c>
      <c r="H168" s="2632">
        <f t="shared" si="93"/>
        <v>0</v>
      </c>
      <c r="I168" s="2632">
        <f t="shared" si="93"/>
        <v>0</v>
      </c>
      <c r="J168" s="2632">
        <f t="shared" si="93"/>
        <v>0</v>
      </c>
      <c r="K168" s="2633">
        <f t="shared" si="93"/>
        <v>0</v>
      </c>
      <c r="L168" s="2169"/>
      <c r="M168" s="2631">
        <f t="shared" si="94"/>
        <v>0</v>
      </c>
      <c r="N168" s="2632">
        <f t="shared" si="94"/>
        <v>0</v>
      </c>
      <c r="O168" s="2632">
        <f t="shared" si="94"/>
        <v>0</v>
      </c>
      <c r="P168" s="2632">
        <f t="shared" si="94"/>
        <v>0</v>
      </c>
      <c r="Q168" s="2632">
        <f t="shared" si="94"/>
        <v>0</v>
      </c>
      <c r="R168" s="2633">
        <f t="shared" si="94"/>
        <v>0</v>
      </c>
      <c r="S168" s="2169"/>
      <c r="T168" s="2631">
        <f t="shared" si="95"/>
        <v>0</v>
      </c>
      <c r="U168" s="2632">
        <f t="shared" si="95"/>
        <v>0</v>
      </c>
      <c r="V168" s="2632">
        <f t="shared" si="95"/>
        <v>0</v>
      </c>
      <c r="W168" s="2632">
        <f t="shared" si="95"/>
        <v>0</v>
      </c>
      <c r="X168" s="2632">
        <f t="shared" si="95"/>
        <v>0</v>
      </c>
      <c r="Y168" s="2633">
        <f t="shared" si="95"/>
        <v>0</v>
      </c>
      <c r="Z168" s="1592"/>
      <c r="AA168" s="1623"/>
      <c r="AB168" s="1647"/>
    </row>
    <row r="169" spans="1:28" s="1563" customFormat="1" ht="24.75" thickBot="1">
      <c r="A169" s="1650">
        <v>19</v>
      </c>
      <c r="B169" s="1595">
        <v>215</v>
      </c>
      <c r="C169" s="1600">
        <v>0.2</v>
      </c>
      <c r="D169" s="1546" t="s">
        <v>911</v>
      </c>
      <c r="E169" s="2169"/>
      <c r="F169" s="2634">
        <f t="shared" si="93"/>
        <v>0</v>
      </c>
      <c r="G169" s="2635">
        <f t="shared" si="93"/>
        <v>0</v>
      </c>
      <c r="H169" s="2635">
        <f t="shared" si="93"/>
        <v>6.2529693686184622</v>
      </c>
      <c r="I169" s="2635">
        <f t="shared" si="93"/>
        <v>27.372390799478534</v>
      </c>
      <c r="J169" s="2635">
        <f t="shared" si="93"/>
        <v>65.174763182722785</v>
      </c>
      <c r="K169" s="2636">
        <f t="shared" si="93"/>
        <v>117.1383749339677</v>
      </c>
      <c r="L169" s="2169"/>
      <c r="M169" s="2634">
        <f t="shared" si="94"/>
        <v>0</v>
      </c>
      <c r="N169" s="2635">
        <f t="shared" si="94"/>
        <v>0</v>
      </c>
      <c r="O169" s="2635">
        <f t="shared" si="94"/>
        <v>3.7925817878724728</v>
      </c>
      <c r="P169" s="2635">
        <f t="shared" si="94"/>
        <v>15.417518850169357</v>
      </c>
      <c r="Q169" s="2635">
        <f t="shared" si="94"/>
        <v>37.084618537116988</v>
      </c>
      <c r="R169" s="2636">
        <f t="shared" si="94"/>
        <v>67.894200668520796</v>
      </c>
      <c r="S169" s="2169"/>
      <c r="T169" s="2634">
        <f t="shared" si="95"/>
        <v>0</v>
      </c>
      <c r="U169" s="2635">
        <f t="shared" si="95"/>
        <v>0</v>
      </c>
      <c r="V169" s="2635">
        <f t="shared" si="95"/>
        <v>0.95444884350906423</v>
      </c>
      <c r="W169" s="2635">
        <f t="shared" si="95"/>
        <v>4.2100903503521092</v>
      </c>
      <c r="X169" s="2635">
        <f t="shared" si="95"/>
        <v>8.7406182801602306</v>
      </c>
      <c r="Y169" s="2636">
        <f t="shared" si="95"/>
        <v>13.967424397511529</v>
      </c>
      <c r="Z169" s="1592"/>
      <c r="AA169" s="1623"/>
      <c r="AB169" s="1647"/>
    </row>
    <row r="170" spans="1:28" s="1563" customFormat="1" ht="13.5" thickBot="1">
      <c r="A170" s="1615" t="s">
        <v>284</v>
      </c>
      <c r="B170" s="1616"/>
      <c r="C170" s="1616"/>
      <c r="D170" s="245" t="s">
        <v>285</v>
      </c>
      <c r="E170" s="2642">
        <f t="shared" ref="E170:Y170" si="96">SUM(E171:E189)</f>
        <v>0</v>
      </c>
      <c r="F170" s="2637">
        <f t="shared" si="96"/>
        <v>1974.44</v>
      </c>
      <c r="G170" s="1098">
        <f t="shared" si="96"/>
        <v>3241.620048527333</v>
      </c>
      <c r="H170" s="1098">
        <f t="shared" si="96"/>
        <v>4993.4280762808057</v>
      </c>
      <c r="I170" s="1999">
        <f t="shared" si="96"/>
        <v>6756.1361653056947</v>
      </c>
      <c r="J170" s="1098">
        <f t="shared" si="96"/>
        <v>8741.1594545257831</v>
      </c>
      <c r="K170" s="1098">
        <f t="shared" si="96"/>
        <v>10390.936117792797</v>
      </c>
      <c r="L170" s="2642">
        <f t="shared" si="96"/>
        <v>0</v>
      </c>
      <c r="M170" s="2637">
        <f t="shared" si="96"/>
        <v>122.11</v>
      </c>
      <c r="N170" s="1098">
        <f t="shared" si="96"/>
        <v>121.05195028332571</v>
      </c>
      <c r="O170" s="1098">
        <f t="shared" si="96"/>
        <v>289.977829845766</v>
      </c>
      <c r="P170" s="1999">
        <f t="shared" si="96"/>
        <v>912.41707481189326</v>
      </c>
      <c r="Q170" s="1098">
        <f t="shared" si="96"/>
        <v>1789.9567147905138</v>
      </c>
      <c r="R170" s="1098">
        <f t="shared" si="96"/>
        <v>2614.8704430859043</v>
      </c>
      <c r="S170" s="2642">
        <f t="shared" si="96"/>
        <v>0</v>
      </c>
      <c r="T170" s="2637">
        <f t="shared" si="96"/>
        <v>146.1</v>
      </c>
      <c r="U170" s="1098">
        <f t="shared" si="96"/>
        <v>171.90800118934132</v>
      </c>
      <c r="V170" s="1098">
        <f t="shared" si="96"/>
        <v>320.77409387342794</v>
      </c>
      <c r="W170" s="1999">
        <f t="shared" si="96"/>
        <v>383.62175988241074</v>
      </c>
      <c r="X170" s="1098">
        <f t="shared" si="96"/>
        <v>400.06883068370246</v>
      </c>
      <c r="Y170" s="1100">
        <f t="shared" si="96"/>
        <v>398.80843912129728</v>
      </c>
      <c r="Z170" s="1587"/>
      <c r="AA170" s="1623"/>
      <c r="AB170" s="1647"/>
    </row>
    <row r="171" spans="1:28" s="1563" customFormat="1">
      <c r="A171" s="1594">
        <v>1</v>
      </c>
      <c r="B171" s="1589">
        <v>20102</v>
      </c>
      <c r="C171" s="1611">
        <v>0</v>
      </c>
      <c r="D171" s="279" t="s">
        <v>760</v>
      </c>
      <c r="E171" s="2668">
        <f>E111-E151</f>
        <v>0</v>
      </c>
      <c r="F171" s="2628">
        <f t="shared" ref="F171:L186" si="97">F111-F151</f>
        <v>0</v>
      </c>
      <c r="G171" s="2629">
        <f t="shared" si="97"/>
        <v>0</v>
      </c>
      <c r="H171" s="2629">
        <f t="shared" si="97"/>
        <v>0</v>
      </c>
      <c r="I171" s="2629">
        <f t="shared" si="97"/>
        <v>0</v>
      </c>
      <c r="J171" s="2629">
        <f t="shared" si="97"/>
        <v>0</v>
      </c>
      <c r="K171" s="2630">
        <f t="shared" si="97"/>
        <v>0</v>
      </c>
      <c r="L171" s="2668">
        <f>L111-L151</f>
        <v>0</v>
      </c>
      <c r="M171" s="2628">
        <f t="shared" ref="M171:S186" si="98">M111-M151</f>
        <v>0</v>
      </c>
      <c r="N171" s="2629">
        <f t="shared" si="98"/>
        <v>0</v>
      </c>
      <c r="O171" s="2629">
        <f t="shared" si="98"/>
        <v>0</v>
      </c>
      <c r="P171" s="2629">
        <f t="shared" si="98"/>
        <v>0</v>
      </c>
      <c r="Q171" s="2629">
        <f t="shared" si="98"/>
        <v>0</v>
      </c>
      <c r="R171" s="2630">
        <f t="shared" si="98"/>
        <v>0</v>
      </c>
      <c r="S171" s="2668">
        <f>S111-S151</f>
        <v>0</v>
      </c>
      <c r="T171" s="2628">
        <f t="shared" ref="T171:Y180" si="99">T111-T151</f>
        <v>0</v>
      </c>
      <c r="U171" s="2629">
        <f t="shared" si="99"/>
        <v>0</v>
      </c>
      <c r="V171" s="2629">
        <f t="shared" si="99"/>
        <v>0</v>
      </c>
      <c r="W171" s="2629">
        <f t="shared" si="99"/>
        <v>0</v>
      </c>
      <c r="X171" s="2629">
        <f t="shared" si="99"/>
        <v>0</v>
      </c>
      <c r="Y171" s="2630">
        <f t="shared" si="99"/>
        <v>0</v>
      </c>
      <c r="Z171" s="1592"/>
      <c r="AA171" s="1623"/>
      <c r="AB171" s="1647"/>
    </row>
    <row r="172" spans="1:28" s="1563" customFormat="1">
      <c r="A172" s="1594">
        <v>2</v>
      </c>
      <c r="B172" s="1595">
        <v>20202</v>
      </c>
      <c r="C172" s="1596">
        <v>0.03</v>
      </c>
      <c r="D172" s="1648" t="s">
        <v>598</v>
      </c>
      <c r="E172" s="2669">
        <f>E112-E152</f>
        <v>0</v>
      </c>
      <c r="F172" s="2631">
        <f t="shared" si="97"/>
        <v>0</v>
      </c>
      <c r="G172" s="2632">
        <f t="shared" si="97"/>
        <v>5.91</v>
      </c>
      <c r="H172" s="2632">
        <f t="shared" si="97"/>
        <v>15.58</v>
      </c>
      <c r="I172" s="2632">
        <f t="shared" si="97"/>
        <v>49.575000000000003</v>
      </c>
      <c r="J172" s="2632">
        <f t="shared" si="97"/>
        <v>77.594999999999999</v>
      </c>
      <c r="K172" s="2633">
        <f t="shared" si="97"/>
        <v>104.715</v>
      </c>
      <c r="L172" s="2669">
        <f>L112-L152</f>
        <v>0</v>
      </c>
      <c r="M172" s="2631">
        <f t="shared" si="98"/>
        <v>0</v>
      </c>
      <c r="N172" s="2632">
        <f t="shared" si="98"/>
        <v>0</v>
      </c>
      <c r="O172" s="2632">
        <f t="shared" si="98"/>
        <v>0</v>
      </c>
      <c r="P172" s="2632">
        <f t="shared" si="98"/>
        <v>0</v>
      </c>
      <c r="Q172" s="2632">
        <f t="shared" si="98"/>
        <v>0</v>
      </c>
      <c r="R172" s="2633">
        <f t="shared" si="98"/>
        <v>0</v>
      </c>
      <c r="S172" s="2669">
        <f>S112-S152</f>
        <v>0</v>
      </c>
      <c r="T172" s="2631">
        <f t="shared" si="99"/>
        <v>0</v>
      </c>
      <c r="U172" s="2632">
        <f t="shared" si="99"/>
        <v>0</v>
      </c>
      <c r="V172" s="2632">
        <f t="shared" si="99"/>
        <v>0</v>
      </c>
      <c r="W172" s="2632">
        <f t="shared" si="99"/>
        <v>0</v>
      </c>
      <c r="X172" s="2632">
        <f t="shared" si="99"/>
        <v>0</v>
      </c>
      <c r="Y172" s="2633">
        <f t="shared" si="99"/>
        <v>0</v>
      </c>
      <c r="Z172" s="1592"/>
      <c r="AA172" s="1623"/>
      <c r="AB172" s="1647"/>
    </row>
    <row r="173" spans="1:28" s="1563" customFormat="1">
      <c r="A173" s="1594">
        <v>3</v>
      </c>
      <c r="B173" s="1595">
        <v>2030401</v>
      </c>
      <c r="C173" s="1600">
        <v>0.1</v>
      </c>
      <c r="D173" s="1546" t="s">
        <v>1470</v>
      </c>
      <c r="E173" s="2669">
        <f t="shared" ref="E173:E189" si="100">E113-E153</f>
        <v>0</v>
      </c>
      <c r="F173" s="2631">
        <f t="shared" si="97"/>
        <v>0</v>
      </c>
      <c r="G173" s="2632">
        <f t="shared" si="97"/>
        <v>0</v>
      </c>
      <c r="H173" s="2632">
        <f t="shared" si="97"/>
        <v>0</v>
      </c>
      <c r="I173" s="2632">
        <f t="shared" si="97"/>
        <v>0</v>
      </c>
      <c r="J173" s="2632">
        <f t="shared" si="97"/>
        <v>0</v>
      </c>
      <c r="K173" s="2633">
        <f t="shared" si="97"/>
        <v>0</v>
      </c>
      <c r="L173" s="2669">
        <f t="shared" si="97"/>
        <v>0</v>
      </c>
      <c r="M173" s="2631">
        <f t="shared" si="98"/>
        <v>0</v>
      </c>
      <c r="N173" s="2632">
        <f t="shared" si="98"/>
        <v>0</v>
      </c>
      <c r="O173" s="2632">
        <f t="shared" si="98"/>
        <v>0</v>
      </c>
      <c r="P173" s="2632">
        <f t="shared" si="98"/>
        <v>0</v>
      </c>
      <c r="Q173" s="2632">
        <f t="shared" si="98"/>
        <v>0</v>
      </c>
      <c r="R173" s="2633">
        <f t="shared" si="98"/>
        <v>0</v>
      </c>
      <c r="S173" s="2669">
        <f t="shared" si="98"/>
        <v>0</v>
      </c>
      <c r="T173" s="2631">
        <f t="shared" si="99"/>
        <v>0</v>
      </c>
      <c r="U173" s="2632">
        <f t="shared" si="99"/>
        <v>0</v>
      </c>
      <c r="V173" s="2632">
        <f t="shared" si="99"/>
        <v>0</v>
      </c>
      <c r="W173" s="2632">
        <f t="shared" si="99"/>
        <v>0</v>
      </c>
      <c r="X173" s="2632">
        <f t="shared" si="99"/>
        <v>0</v>
      </c>
      <c r="Y173" s="2633">
        <f t="shared" si="99"/>
        <v>0</v>
      </c>
      <c r="Z173" s="1592"/>
      <c r="AA173" s="1623"/>
      <c r="AB173" s="1647"/>
    </row>
    <row r="174" spans="1:28" s="1563" customFormat="1">
      <c r="A174" s="1594">
        <v>4</v>
      </c>
      <c r="B174" s="1595">
        <v>2030402</v>
      </c>
      <c r="C174" s="1600">
        <v>0.1</v>
      </c>
      <c r="D174" s="1546" t="s">
        <v>601</v>
      </c>
      <c r="E174" s="2669">
        <f t="shared" si="100"/>
        <v>0</v>
      </c>
      <c r="F174" s="2631">
        <f t="shared" si="97"/>
        <v>0</v>
      </c>
      <c r="G174" s="2632">
        <f t="shared" si="97"/>
        <v>0</v>
      </c>
      <c r="H174" s="2632">
        <f t="shared" si="97"/>
        <v>0</v>
      </c>
      <c r="I174" s="2632">
        <f t="shared" si="97"/>
        <v>0</v>
      </c>
      <c r="J174" s="2632">
        <f t="shared" si="97"/>
        <v>0</v>
      </c>
      <c r="K174" s="2633">
        <f t="shared" si="97"/>
        <v>0</v>
      </c>
      <c r="L174" s="2669">
        <f t="shared" si="97"/>
        <v>0</v>
      </c>
      <c r="M174" s="2631">
        <f t="shared" si="98"/>
        <v>0</v>
      </c>
      <c r="N174" s="2632">
        <f t="shared" si="98"/>
        <v>0</v>
      </c>
      <c r="O174" s="2632">
        <f t="shared" si="98"/>
        <v>0</v>
      </c>
      <c r="P174" s="2632">
        <f t="shared" si="98"/>
        <v>0</v>
      </c>
      <c r="Q174" s="2632">
        <f t="shared" si="98"/>
        <v>0</v>
      </c>
      <c r="R174" s="2633">
        <f t="shared" si="98"/>
        <v>0</v>
      </c>
      <c r="S174" s="2669">
        <f t="shared" si="98"/>
        <v>0</v>
      </c>
      <c r="T174" s="2631">
        <f t="shared" si="99"/>
        <v>0</v>
      </c>
      <c r="U174" s="2632">
        <f t="shared" si="99"/>
        <v>0</v>
      </c>
      <c r="V174" s="2632">
        <f t="shared" si="99"/>
        <v>0</v>
      </c>
      <c r="W174" s="2632">
        <f t="shared" si="99"/>
        <v>0</v>
      </c>
      <c r="X174" s="2632">
        <f t="shared" si="99"/>
        <v>0</v>
      </c>
      <c r="Y174" s="2633">
        <f t="shared" si="99"/>
        <v>0</v>
      </c>
      <c r="Z174" s="1592"/>
      <c r="AA174" s="1623"/>
      <c r="AB174" s="1647"/>
    </row>
    <row r="175" spans="1:28" s="1563" customFormat="1">
      <c r="A175" s="1594">
        <v>5</v>
      </c>
      <c r="B175" s="1595">
        <v>2030501</v>
      </c>
      <c r="C175" s="1600">
        <v>0.1</v>
      </c>
      <c r="D175" s="1546" t="s">
        <v>580</v>
      </c>
      <c r="E175" s="2669">
        <f t="shared" si="100"/>
        <v>0</v>
      </c>
      <c r="F175" s="2631">
        <f t="shared" si="97"/>
        <v>18.05</v>
      </c>
      <c r="G175" s="2632">
        <f t="shared" si="97"/>
        <v>128.94004852733298</v>
      </c>
      <c r="H175" s="2632">
        <f t="shared" si="97"/>
        <v>456.02522700962595</v>
      </c>
      <c r="I175" s="2632">
        <f t="shared" si="97"/>
        <v>722.83126149283601</v>
      </c>
      <c r="J175" s="2632">
        <f t="shared" si="97"/>
        <v>1107.0369092725571</v>
      </c>
      <c r="K175" s="2633">
        <f t="shared" si="97"/>
        <v>1444.8853343076344</v>
      </c>
      <c r="L175" s="2669">
        <f t="shared" si="97"/>
        <v>0</v>
      </c>
      <c r="M175" s="2631">
        <f t="shared" si="98"/>
        <v>0</v>
      </c>
      <c r="N175" s="2632">
        <f t="shared" si="98"/>
        <v>4.721950283325695</v>
      </c>
      <c r="O175" s="2632">
        <f t="shared" si="98"/>
        <v>21.180990978726662</v>
      </c>
      <c r="P175" s="2632">
        <f t="shared" si="98"/>
        <v>65.966210383199552</v>
      </c>
      <c r="Q175" s="2632">
        <f t="shared" si="98"/>
        <v>152.3838596423536</v>
      </c>
      <c r="R175" s="2633">
        <f t="shared" si="98"/>
        <v>225.90782260867064</v>
      </c>
      <c r="S175" s="2669">
        <f t="shared" si="98"/>
        <v>0</v>
      </c>
      <c r="T175" s="2631">
        <f t="shared" si="99"/>
        <v>0</v>
      </c>
      <c r="U175" s="2632">
        <f t="shared" si="99"/>
        <v>0.2880011893413264</v>
      </c>
      <c r="V175" s="2632">
        <f t="shared" si="99"/>
        <v>30.993782011647397</v>
      </c>
      <c r="W175" s="2632">
        <f t="shared" si="99"/>
        <v>37.552528123964393</v>
      </c>
      <c r="X175" s="2632">
        <f t="shared" si="99"/>
        <v>38.629231085089145</v>
      </c>
      <c r="Y175" s="2633">
        <f t="shared" si="99"/>
        <v>39.356843083694827</v>
      </c>
      <c r="Z175" s="1592"/>
      <c r="AA175" s="1623"/>
      <c r="AB175" s="1647"/>
    </row>
    <row r="176" spans="1:28" s="1563" customFormat="1" ht="24">
      <c r="A176" s="1594">
        <v>6</v>
      </c>
      <c r="B176" s="1595">
        <v>2030502</v>
      </c>
      <c r="C176" s="1600">
        <v>0.1</v>
      </c>
      <c r="D176" s="1546" t="s">
        <v>948</v>
      </c>
      <c r="E176" s="2669">
        <f t="shared" si="100"/>
        <v>0</v>
      </c>
      <c r="F176" s="2631">
        <f t="shared" si="97"/>
        <v>0</v>
      </c>
      <c r="G176" s="2632">
        <f t="shared" si="97"/>
        <v>87.4</v>
      </c>
      <c r="H176" s="2632">
        <f t="shared" si="97"/>
        <v>78.2</v>
      </c>
      <c r="I176" s="2632">
        <f t="shared" si="97"/>
        <v>140.25</v>
      </c>
      <c r="J176" s="2632">
        <f t="shared" si="97"/>
        <v>190.05</v>
      </c>
      <c r="K176" s="2633">
        <f t="shared" si="97"/>
        <v>232.85</v>
      </c>
      <c r="L176" s="2669">
        <f t="shared" si="97"/>
        <v>0</v>
      </c>
      <c r="M176" s="2631">
        <f t="shared" si="98"/>
        <v>0</v>
      </c>
      <c r="N176" s="2632">
        <f t="shared" si="98"/>
        <v>0</v>
      </c>
      <c r="O176" s="2632">
        <f t="shared" si="98"/>
        <v>0</v>
      </c>
      <c r="P176" s="2632">
        <f t="shared" si="98"/>
        <v>0</v>
      </c>
      <c r="Q176" s="2632">
        <f t="shared" si="98"/>
        <v>0</v>
      </c>
      <c r="R176" s="2633">
        <f t="shared" si="98"/>
        <v>0</v>
      </c>
      <c r="S176" s="2669">
        <f t="shared" si="98"/>
        <v>0</v>
      </c>
      <c r="T176" s="2631">
        <f t="shared" si="99"/>
        <v>0</v>
      </c>
      <c r="U176" s="2632">
        <f t="shared" si="99"/>
        <v>0</v>
      </c>
      <c r="V176" s="2632">
        <f t="shared" si="99"/>
        <v>0</v>
      </c>
      <c r="W176" s="2632">
        <f t="shared" si="99"/>
        <v>0</v>
      </c>
      <c r="X176" s="2632">
        <f t="shared" si="99"/>
        <v>0</v>
      </c>
      <c r="Y176" s="2633">
        <f t="shared" si="99"/>
        <v>0</v>
      </c>
      <c r="Z176" s="1592"/>
      <c r="AA176" s="1623"/>
      <c r="AB176" s="1647"/>
    </row>
    <row r="177" spans="1:28" s="1563" customFormat="1">
      <c r="A177" s="1594">
        <v>7</v>
      </c>
      <c r="B177" s="1595">
        <v>2030503</v>
      </c>
      <c r="C177" s="1600">
        <v>0.1</v>
      </c>
      <c r="D177" s="1546" t="s">
        <v>966</v>
      </c>
      <c r="E177" s="2669">
        <f t="shared" si="100"/>
        <v>0</v>
      </c>
      <c r="F177" s="2631">
        <f t="shared" si="97"/>
        <v>0.95</v>
      </c>
      <c r="G177" s="2632">
        <f t="shared" si="97"/>
        <v>0.85</v>
      </c>
      <c r="H177" s="2632">
        <f t="shared" si="97"/>
        <v>0.75</v>
      </c>
      <c r="I177" s="2632">
        <f t="shared" si="97"/>
        <v>46.25</v>
      </c>
      <c r="J177" s="2632">
        <f t="shared" si="97"/>
        <v>88.85</v>
      </c>
      <c r="K177" s="2633">
        <f t="shared" si="97"/>
        <v>131.19999999999999</v>
      </c>
      <c r="L177" s="2669">
        <f t="shared" si="97"/>
        <v>0</v>
      </c>
      <c r="M177" s="2631">
        <f t="shared" si="98"/>
        <v>38.950000000000003</v>
      </c>
      <c r="N177" s="2632">
        <f t="shared" si="98"/>
        <v>34.85</v>
      </c>
      <c r="O177" s="2632">
        <f t="shared" si="98"/>
        <v>30.75</v>
      </c>
      <c r="P177" s="2632">
        <f t="shared" si="98"/>
        <v>74.150000000000006</v>
      </c>
      <c r="Q177" s="2632">
        <f t="shared" si="98"/>
        <v>79.3</v>
      </c>
      <c r="R177" s="2633">
        <f t="shared" si="98"/>
        <v>82.949999999999989</v>
      </c>
      <c r="S177" s="2669">
        <f t="shared" si="98"/>
        <v>0</v>
      </c>
      <c r="T177" s="2631">
        <f t="shared" si="99"/>
        <v>28.5</v>
      </c>
      <c r="U177" s="2632">
        <f t="shared" si="99"/>
        <v>25.5</v>
      </c>
      <c r="V177" s="2632">
        <f t="shared" si="99"/>
        <v>22.5</v>
      </c>
      <c r="W177" s="2632">
        <f t="shared" si="99"/>
        <v>19.5</v>
      </c>
      <c r="X177" s="2632">
        <f t="shared" si="99"/>
        <v>16.5</v>
      </c>
      <c r="Y177" s="2633">
        <f t="shared" si="99"/>
        <v>13.5</v>
      </c>
      <c r="Z177" s="1592"/>
      <c r="AA177" s="1623"/>
      <c r="AB177" s="1647"/>
    </row>
    <row r="178" spans="1:28" s="1563" customFormat="1">
      <c r="A178" s="1594">
        <v>8</v>
      </c>
      <c r="B178" s="1595">
        <v>2040101</v>
      </c>
      <c r="C178" s="1649">
        <v>0.1</v>
      </c>
      <c r="D178" s="1558" t="s">
        <v>1442</v>
      </c>
      <c r="E178" s="2669">
        <f t="shared" si="100"/>
        <v>0</v>
      </c>
      <c r="F178" s="2631">
        <f t="shared" si="97"/>
        <v>0</v>
      </c>
      <c r="G178" s="2632">
        <f t="shared" si="97"/>
        <v>0</v>
      </c>
      <c r="H178" s="2632">
        <f t="shared" si="97"/>
        <v>0</v>
      </c>
      <c r="I178" s="2632">
        <f t="shared" si="97"/>
        <v>0</v>
      </c>
      <c r="J178" s="2632">
        <f t="shared" si="97"/>
        <v>0</v>
      </c>
      <c r="K178" s="2633">
        <f t="shared" si="97"/>
        <v>0</v>
      </c>
      <c r="L178" s="2669">
        <f t="shared" si="97"/>
        <v>0</v>
      </c>
      <c r="M178" s="2631">
        <f t="shared" si="98"/>
        <v>0</v>
      </c>
      <c r="N178" s="2632">
        <f t="shared" si="98"/>
        <v>0</v>
      </c>
      <c r="O178" s="2632">
        <f t="shared" si="98"/>
        <v>0</v>
      </c>
      <c r="P178" s="2632">
        <f t="shared" si="98"/>
        <v>0</v>
      </c>
      <c r="Q178" s="2632">
        <f t="shared" si="98"/>
        <v>0</v>
      </c>
      <c r="R178" s="2633">
        <f t="shared" si="98"/>
        <v>0</v>
      </c>
      <c r="S178" s="2669">
        <f t="shared" si="98"/>
        <v>0</v>
      </c>
      <c r="T178" s="2631">
        <f t="shared" si="99"/>
        <v>0</v>
      </c>
      <c r="U178" s="2632">
        <f t="shared" si="99"/>
        <v>0</v>
      </c>
      <c r="V178" s="2632">
        <f t="shared" si="99"/>
        <v>0</v>
      </c>
      <c r="W178" s="2632">
        <f t="shared" si="99"/>
        <v>0</v>
      </c>
      <c r="X178" s="2632">
        <f t="shared" si="99"/>
        <v>0</v>
      </c>
      <c r="Y178" s="2633">
        <f t="shared" si="99"/>
        <v>0</v>
      </c>
      <c r="Z178" s="1592"/>
      <c r="AA178" s="1623"/>
      <c r="AB178" s="1647"/>
    </row>
    <row r="179" spans="1:28" s="1563" customFormat="1">
      <c r="A179" s="1650">
        <v>9</v>
      </c>
      <c r="B179" s="1595">
        <v>2040102</v>
      </c>
      <c r="C179" s="1649">
        <v>0.04</v>
      </c>
      <c r="D179" s="1558" t="s">
        <v>604</v>
      </c>
      <c r="E179" s="2669">
        <f t="shared" si="100"/>
        <v>0</v>
      </c>
      <c r="F179" s="2631">
        <f t="shared" si="97"/>
        <v>0</v>
      </c>
      <c r="G179" s="2632">
        <f t="shared" si="97"/>
        <v>0</v>
      </c>
      <c r="H179" s="2632">
        <f t="shared" si="97"/>
        <v>0</v>
      </c>
      <c r="I179" s="2632">
        <f t="shared" si="97"/>
        <v>0</v>
      </c>
      <c r="J179" s="2632">
        <f t="shared" si="97"/>
        <v>0</v>
      </c>
      <c r="K179" s="2633">
        <f t="shared" si="97"/>
        <v>0</v>
      </c>
      <c r="L179" s="2669">
        <f t="shared" si="97"/>
        <v>0</v>
      </c>
      <c r="M179" s="2631">
        <f t="shared" si="98"/>
        <v>0</v>
      </c>
      <c r="N179" s="2632">
        <f t="shared" si="98"/>
        <v>0</v>
      </c>
      <c r="O179" s="2632">
        <f t="shared" si="98"/>
        <v>0</v>
      </c>
      <c r="P179" s="2632">
        <f t="shared" si="98"/>
        <v>0</v>
      </c>
      <c r="Q179" s="2632">
        <f t="shared" si="98"/>
        <v>0</v>
      </c>
      <c r="R179" s="2633">
        <f t="shared" si="98"/>
        <v>0</v>
      </c>
      <c r="S179" s="2669">
        <f t="shared" si="98"/>
        <v>0</v>
      </c>
      <c r="T179" s="2631">
        <f t="shared" si="99"/>
        <v>0</v>
      </c>
      <c r="U179" s="2632">
        <f t="shared" si="99"/>
        <v>0</v>
      </c>
      <c r="V179" s="2632">
        <f t="shared" si="99"/>
        <v>0</v>
      </c>
      <c r="W179" s="2632">
        <f t="shared" si="99"/>
        <v>0</v>
      </c>
      <c r="X179" s="2632">
        <f t="shared" si="99"/>
        <v>0</v>
      </c>
      <c r="Y179" s="2633">
        <f t="shared" si="99"/>
        <v>0</v>
      </c>
      <c r="Z179" s="1592"/>
      <c r="AA179" s="1623"/>
      <c r="AB179" s="1647"/>
    </row>
    <row r="180" spans="1:28" s="1563" customFormat="1">
      <c r="A180" s="1650">
        <v>10</v>
      </c>
      <c r="B180" s="1595">
        <v>2040201</v>
      </c>
      <c r="C180" s="1596">
        <v>0.02</v>
      </c>
      <c r="D180" s="1544" t="s">
        <v>1007</v>
      </c>
      <c r="E180" s="2669">
        <f t="shared" si="100"/>
        <v>0</v>
      </c>
      <c r="F180" s="2631">
        <f t="shared" si="97"/>
        <v>0</v>
      </c>
      <c r="G180" s="2632">
        <f t="shared" si="97"/>
        <v>13.86</v>
      </c>
      <c r="H180" s="2632">
        <f t="shared" si="97"/>
        <v>13.58</v>
      </c>
      <c r="I180" s="2632">
        <f t="shared" si="97"/>
        <v>13.3</v>
      </c>
      <c r="J180" s="2632">
        <f t="shared" si="97"/>
        <v>13.02</v>
      </c>
      <c r="K180" s="2633">
        <f t="shared" si="97"/>
        <v>12.74</v>
      </c>
      <c r="L180" s="2669">
        <f t="shared" si="97"/>
        <v>0</v>
      </c>
      <c r="M180" s="2631">
        <f t="shared" si="98"/>
        <v>0</v>
      </c>
      <c r="N180" s="2632">
        <f t="shared" si="98"/>
        <v>0</v>
      </c>
      <c r="O180" s="2632">
        <f t="shared" si="98"/>
        <v>0</v>
      </c>
      <c r="P180" s="2632">
        <f t="shared" si="98"/>
        <v>0</v>
      </c>
      <c r="Q180" s="2632">
        <f t="shared" si="98"/>
        <v>0</v>
      </c>
      <c r="R180" s="2633">
        <f t="shared" si="98"/>
        <v>0</v>
      </c>
      <c r="S180" s="2669">
        <f t="shared" si="98"/>
        <v>0</v>
      </c>
      <c r="T180" s="2631">
        <f t="shared" si="99"/>
        <v>0</v>
      </c>
      <c r="U180" s="2632">
        <f t="shared" si="99"/>
        <v>0</v>
      </c>
      <c r="V180" s="2632">
        <f t="shared" si="99"/>
        <v>0</v>
      </c>
      <c r="W180" s="2632">
        <f t="shared" si="99"/>
        <v>0</v>
      </c>
      <c r="X180" s="2632">
        <f t="shared" si="99"/>
        <v>0</v>
      </c>
      <c r="Y180" s="2633">
        <f t="shared" si="99"/>
        <v>0</v>
      </c>
      <c r="Z180" s="1592"/>
      <c r="AA180" s="1623"/>
      <c r="AB180" s="1647"/>
    </row>
    <row r="181" spans="1:28" s="1563" customFormat="1">
      <c r="A181" s="1650">
        <v>11</v>
      </c>
      <c r="B181" s="1595">
        <v>2040202</v>
      </c>
      <c r="C181" s="1596">
        <v>0.02</v>
      </c>
      <c r="D181" s="1544" t="s">
        <v>1008</v>
      </c>
      <c r="E181" s="2669">
        <f t="shared" si="100"/>
        <v>0</v>
      </c>
      <c r="F181" s="2631">
        <f t="shared" ref="F181:L189" si="101">F121-F161</f>
        <v>0</v>
      </c>
      <c r="G181" s="2632">
        <f t="shared" si="101"/>
        <v>0</v>
      </c>
      <c r="H181" s="2632">
        <f t="shared" si="101"/>
        <v>1.98</v>
      </c>
      <c r="I181" s="2632">
        <f t="shared" si="101"/>
        <v>31.64</v>
      </c>
      <c r="J181" s="2632">
        <f t="shared" si="101"/>
        <v>60.7</v>
      </c>
      <c r="K181" s="2633">
        <f t="shared" si="101"/>
        <v>89.16</v>
      </c>
      <c r="L181" s="2669">
        <f t="shared" si="97"/>
        <v>0</v>
      </c>
      <c r="M181" s="2631">
        <f t="shared" ref="M181:S189" si="102">M121-M161</f>
        <v>0</v>
      </c>
      <c r="N181" s="2632">
        <f t="shared" si="102"/>
        <v>0</v>
      </c>
      <c r="O181" s="2632">
        <f t="shared" si="102"/>
        <v>0</v>
      </c>
      <c r="P181" s="2632">
        <f t="shared" si="102"/>
        <v>0</v>
      </c>
      <c r="Q181" s="2632">
        <f t="shared" si="102"/>
        <v>0</v>
      </c>
      <c r="R181" s="2633">
        <f t="shared" si="102"/>
        <v>0</v>
      </c>
      <c r="S181" s="2669">
        <f t="shared" si="98"/>
        <v>0</v>
      </c>
      <c r="T181" s="2631">
        <f t="shared" ref="T181:Y189" si="103">T121-T161</f>
        <v>0</v>
      </c>
      <c r="U181" s="2632">
        <f t="shared" si="103"/>
        <v>0</v>
      </c>
      <c r="V181" s="2632">
        <f t="shared" si="103"/>
        <v>0</v>
      </c>
      <c r="W181" s="2632">
        <f t="shared" si="103"/>
        <v>0</v>
      </c>
      <c r="X181" s="2632">
        <f t="shared" si="103"/>
        <v>0</v>
      </c>
      <c r="Y181" s="2633">
        <f t="shared" si="103"/>
        <v>0</v>
      </c>
      <c r="Z181" s="1592"/>
      <c r="AA181" s="1623"/>
      <c r="AB181" s="1647"/>
    </row>
    <row r="182" spans="1:28" s="1563" customFormat="1">
      <c r="A182" s="1650">
        <v>12</v>
      </c>
      <c r="B182" s="1595">
        <v>2040203</v>
      </c>
      <c r="C182" s="1596">
        <v>0.02</v>
      </c>
      <c r="D182" s="1544" t="s">
        <v>590</v>
      </c>
      <c r="E182" s="2669">
        <f t="shared" si="100"/>
        <v>0</v>
      </c>
      <c r="F182" s="2631">
        <f t="shared" si="101"/>
        <v>0</v>
      </c>
      <c r="G182" s="2632">
        <f t="shared" si="101"/>
        <v>0</v>
      </c>
      <c r="H182" s="2632">
        <f t="shared" si="101"/>
        <v>0</v>
      </c>
      <c r="I182" s="2632">
        <f t="shared" si="101"/>
        <v>0</v>
      </c>
      <c r="J182" s="2632">
        <f t="shared" si="101"/>
        <v>0</v>
      </c>
      <c r="K182" s="2633">
        <f t="shared" si="101"/>
        <v>0</v>
      </c>
      <c r="L182" s="2669">
        <f t="shared" si="97"/>
        <v>0</v>
      </c>
      <c r="M182" s="2631">
        <f t="shared" si="102"/>
        <v>0</v>
      </c>
      <c r="N182" s="2632">
        <f t="shared" si="102"/>
        <v>0</v>
      </c>
      <c r="O182" s="2632">
        <f t="shared" si="102"/>
        <v>0</v>
      </c>
      <c r="P182" s="2632">
        <f t="shared" si="102"/>
        <v>0</v>
      </c>
      <c r="Q182" s="2632">
        <f t="shared" si="102"/>
        <v>0</v>
      </c>
      <c r="R182" s="2633">
        <f t="shared" si="102"/>
        <v>0</v>
      </c>
      <c r="S182" s="2669">
        <f t="shared" si="98"/>
        <v>0</v>
      </c>
      <c r="T182" s="2631">
        <f t="shared" si="103"/>
        <v>0</v>
      </c>
      <c r="U182" s="2632">
        <f t="shared" si="103"/>
        <v>0</v>
      </c>
      <c r="V182" s="2632">
        <f t="shared" si="103"/>
        <v>0</v>
      </c>
      <c r="W182" s="2632">
        <f t="shared" si="103"/>
        <v>0</v>
      </c>
      <c r="X182" s="2632">
        <f t="shared" si="103"/>
        <v>0</v>
      </c>
      <c r="Y182" s="2633">
        <f t="shared" si="103"/>
        <v>0</v>
      </c>
      <c r="Z182" s="1592"/>
      <c r="AA182" s="1623"/>
      <c r="AB182" s="1647"/>
    </row>
    <row r="183" spans="1:28" s="1563" customFormat="1">
      <c r="A183" s="1650">
        <v>13</v>
      </c>
      <c r="B183" s="1595">
        <v>2040204</v>
      </c>
      <c r="C183" s="1596">
        <v>0.02</v>
      </c>
      <c r="D183" s="1558" t="s">
        <v>591</v>
      </c>
      <c r="E183" s="2669">
        <f t="shared" si="100"/>
        <v>0</v>
      </c>
      <c r="F183" s="2631">
        <f t="shared" si="101"/>
        <v>0</v>
      </c>
      <c r="G183" s="2632">
        <f t="shared" si="101"/>
        <v>0</v>
      </c>
      <c r="H183" s="2632">
        <f t="shared" si="101"/>
        <v>0</v>
      </c>
      <c r="I183" s="2632">
        <f t="shared" si="101"/>
        <v>19.8</v>
      </c>
      <c r="J183" s="2632">
        <f t="shared" si="101"/>
        <v>39.200000000000003</v>
      </c>
      <c r="K183" s="2633">
        <f t="shared" si="101"/>
        <v>58.2</v>
      </c>
      <c r="L183" s="2669">
        <f t="shared" si="97"/>
        <v>0</v>
      </c>
      <c r="M183" s="2631">
        <f t="shared" si="102"/>
        <v>0</v>
      </c>
      <c r="N183" s="2632">
        <f t="shared" si="102"/>
        <v>0</v>
      </c>
      <c r="O183" s="2632">
        <f t="shared" si="102"/>
        <v>0</v>
      </c>
      <c r="P183" s="2632">
        <f t="shared" si="102"/>
        <v>0</v>
      </c>
      <c r="Q183" s="2632">
        <f t="shared" si="102"/>
        <v>0</v>
      </c>
      <c r="R183" s="2633">
        <f t="shared" si="102"/>
        <v>0</v>
      </c>
      <c r="S183" s="2669">
        <f t="shared" si="98"/>
        <v>0</v>
      </c>
      <c r="T183" s="2631">
        <f t="shared" si="103"/>
        <v>0</v>
      </c>
      <c r="U183" s="2632">
        <f t="shared" si="103"/>
        <v>0</v>
      </c>
      <c r="V183" s="2632">
        <f t="shared" si="103"/>
        <v>0</v>
      </c>
      <c r="W183" s="2632">
        <f t="shared" si="103"/>
        <v>0</v>
      </c>
      <c r="X183" s="2632">
        <f t="shared" si="103"/>
        <v>0</v>
      </c>
      <c r="Y183" s="2633">
        <f t="shared" si="103"/>
        <v>0</v>
      </c>
      <c r="Z183" s="1592"/>
      <c r="AA183" s="1623"/>
      <c r="AB183" s="1647"/>
    </row>
    <row r="184" spans="1:28" s="1563" customFormat="1">
      <c r="A184" s="1650">
        <v>14</v>
      </c>
      <c r="B184" s="1595">
        <v>2040205</v>
      </c>
      <c r="C184" s="1596">
        <v>0.02</v>
      </c>
      <c r="D184" s="1544" t="s">
        <v>592</v>
      </c>
      <c r="E184" s="2669">
        <f t="shared" si="100"/>
        <v>0</v>
      </c>
      <c r="F184" s="2631">
        <f t="shared" si="101"/>
        <v>1197.9000000000001</v>
      </c>
      <c r="G184" s="2632">
        <f t="shared" si="101"/>
        <v>1937.98</v>
      </c>
      <c r="H184" s="2632">
        <f t="shared" si="101"/>
        <v>3221.97</v>
      </c>
      <c r="I184" s="2632">
        <f t="shared" si="101"/>
        <v>4201.03</v>
      </c>
      <c r="J184" s="2632">
        <f t="shared" si="101"/>
        <v>5371.82</v>
      </c>
      <c r="K184" s="2633">
        <f t="shared" si="101"/>
        <v>6314.24</v>
      </c>
      <c r="L184" s="2669">
        <f t="shared" si="97"/>
        <v>0</v>
      </c>
      <c r="M184" s="2631">
        <f t="shared" si="102"/>
        <v>0</v>
      </c>
      <c r="N184" s="2632">
        <f t="shared" si="102"/>
        <v>0</v>
      </c>
      <c r="O184" s="2632">
        <f t="shared" si="102"/>
        <v>0</v>
      </c>
      <c r="P184" s="2632">
        <f t="shared" si="102"/>
        <v>0</v>
      </c>
      <c r="Q184" s="2632">
        <f t="shared" si="102"/>
        <v>0</v>
      </c>
      <c r="R184" s="2633">
        <f t="shared" si="102"/>
        <v>0</v>
      </c>
      <c r="S184" s="2669">
        <f t="shared" si="98"/>
        <v>0</v>
      </c>
      <c r="T184" s="2631">
        <f t="shared" si="103"/>
        <v>0</v>
      </c>
      <c r="U184" s="2632">
        <f t="shared" si="103"/>
        <v>0</v>
      </c>
      <c r="V184" s="2632">
        <f t="shared" si="103"/>
        <v>0</v>
      </c>
      <c r="W184" s="2632">
        <f t="shared" si="103"/>
        <v>0</v>
      </c>
      <c r="X184" s="2632">
        <f t="shared" si="103"/>
        <v>0</v>
      </c>
      <c r="Y184" s="2633">
        <f t="shared" si="103"/>
        <v>0</v>
      </c>
      <c r="Z184" s="1592"/>
      <c r="AA184" s="1623"/>
      <c r="AB184" s="1647"/>
    </row>
    <row r="185" spans="1:28" s="1563" customFormat="1">
      <c r="A185" s="1650">
        <v>15</v>
      </c>
      <c r="B185" s="1595">
        <v>2040206</v>
      </c>
      <c r="C185" s="1596">
        <v>0.02</v>
      </c>
      <c r="D185" s="1546" t="s">
        <v>593</v>
      </c>
      <c r="E185" s="2669">
        <f t="shared" si="100"/>
        <v>0</v>
      </c>
      <c r="F185" s="2631">
        <f t="shared" si="101"/>
        <v>0</v>
      </c>
      <c r="G185" s="2632">
        <f t="shared" si="101"/>
        <v>0</v>
      </c>
      <c r="H185" s="2632">
        <f t="shared" si="101"/>
        <v>0</v>
      </c>
      <c r="I185" s="2632">
        <f t="shared" si="101"/>
        <v>0</v>
      </c>
      <c r="J185" s="2632">
        <f t="shared" si="101"/>
        <v>0</v>
      </c>
      <c r="K185" s="2633">
        <f t="shared" si="101"/>
        <v>0</v>
      </c>
      <c r="L185" s="2669">
        <f t="shared" si="97"/>
        <v>0</v>
      </c>
      <c r="M185" s="2631">
        <f t="shared" si="102"/>
        <v>83.16</v>
      </c>
      <c r="N185" s="2632">
        <f t="shared" si="102"/>
        <v>81.48</v>
      </c>
      <c r="O185" s="2632">
        <f t="shared" si="102"/>
        <v>233.25</v>
      </c>
      <c r="P185" s="2632">
        <f t="shared" si="102"/>
        <v>733.37</v>
      </c>
      <c r="Q185" s="2632">
        <f t="shared" si="102"/>
        <v>1485.64</v>
      </c>
      <c r="R185" s="2633">
        <f t="shared" si="102"/>
        <v>2222.41</v>
      </c>
      <c r="S185" s="2669">
        <f t="shared" si="98"/>
        <v>0</v>
      </c>
      <c r="T185" s="2631">
        <f t="shared" si="103"/>
        <v>0</v>
      </c>
      <c r="U185" s="2632">
        <f t="shared" si="103"/>
        <v>0</v>
      </c>
      <c r="V185" s="2632">
        <f t="shared" si="103"/>
        <v>0</v>
      </c>
      <c r="W185" s="2632">
        <f t="shared" si="103"/>
        <v>0</v>
      </c>
      <c r="X185" s="2632">
        <f t="shared" si="103"/>
        <v>0</v>
      </c>
      <c r="Y185" s="2633">
        <f t="shared" si="103"/>
        <v>0</v>
      </c>
      <c r="Z185" s="1592"/>
      <c r="AA185" s="1623"/>
      <c r="AB185" s="1647"/>
    </row>
    <row r="186" spans="1:28" s="1563" customFormat="1" ht="24">
      <c r="A186" s="1650">
        <v>16</v>
      </c>
      <c r="B186" s="1595">
        <v>2040207</v>
      </c>
      <c r="C186" s="1596">
        <v>0.04</v>
      </c>
      <c r="D186" s="1546" t="s">
        <v>594</v>
      </c>
      <c r="E186" s="2669">
        <f t="shared" si="100"/>
        <v>0</v>
      </c>
      <c r="F186" s="2631">
        <f t="shared" si="101"/>
        <v>757.54</v>
      </c>
      <c r="G186" s="2632">
        <f t="shared" si="101"/>
        <v>1066.68</v>
      </c>
      <c r="H186" s="2632">
        <f t="shared" si="101"/>
        <v>1122.82</v>
      </c>
      <c r="I186" s="2632">
        <f t="shared" si="101"/>
        <v>1380.6399999999999</v>
      </c>
      <c r="J186" s="2632">
        <f t="shared" si="101"/>
        <v>1597.52</v>
      </c>
      <c r="K186" s="2633">
        <f t="shared" si="101"/>
        <v>1803.04</v>
      </c>
      <c r="L186" s="2669">
        <f t="shared" si="97"/>
        <v>0</v>
      </c>
      <c r="M186" s="2631">
        <f t="shared" si="102"/>
        <v>0</v>
      </c>
      <c r="N186" s="2632">
        <f t="shared" si="102"/>
        <v>0</v>
      </c>
      <c r="O186" s="2632">
        <f t="shared" si="102"/>
        <v>0</v>
      </c>
      <c r="P186" s="2632">
        <f t="shared" si="102"/>
        <v>0</v>
      </c>
      <c r="Q186" s="2632">
        <f t="shared" si="102"/>
        <v>0</v>
      </c>
      <c r="R186" s="2633">
        <f t="shared" si="102"/>
        <v>0</v>
      </c>
      <c r="S186" s="2669">
        <f t="shared" si="98"/>
        <v>0</v>
      </c>
      <c r="T186" s="2631">
        <f t="shared" si="103"/>
        <v>117.6</v>
      </c>
      <c r="U186" s="2632">
        <f t="shared" si="103"/>
        <v>146.12</v>
      </c>
      <c r="V186" s="2632">
        <f t="shared" si="103"/>
        <v>255.6</v>
      </c>
      <c r="W186" s="2632">
        <f t="shared" si="103"/>
        <v>313.32</v>
      </c>
      <c r="X186" s="2632">
        <f t="shared" si="103"/>
        <v>333.94</v>
      </c>
      <c r="Y186" s="2633">
        <f t="shared" si="103"/>
        <v>338.46</v>
      </c>
      <c r="Z186" s="1592"/>
      <c r="AA186" s="1623"/>
      <c r="AB186" s="1647"/>
    </row>
    <row r="187" spans="1:28" s="1563" customFormat="1">
      <c r="A187" s="1650">
        <v>17</v>
      </c>
      <c r="B187" s="1595">
        <v>2040208</v>
      </c>
      <c r="C187" s="1596">
        <v>0.04</v>
      </c>
      <c r="D187" s="1546" t="s">
        <v>595</v>
      </c>
      <c r="E187" s="2669">
        <f t="shared" si="100"/>
        <v>0</v>
      </c>
      <c r="F187" s="2631">
        <f t="shared" si="101"/>
        <v>0</v>
      </c>
      <c r="G187" s="2632">
        <f t="shared" si="101"/>
        <v>0</v>
      </c>
      <c r="H187" s="2632">
        <f t="shared" si="101"/>
        <v>0</v>
      </c>
      <c r="I187" s="2632">
        <f t="shared" si="101"/>
        <v>0</v>
      </c>
      <c r="J187" s="2632">
        <f t="shared" si="101"/>
        <v>0</v>
      </c>
      <c r="K187" s="2633">
        <f t="shared" si="101"/>
        <v>0</v>
      </c>
      <c r="L187" s="2669">
        <f t="shared" si="101"/>
        <v>0</v>
      </c>
      <c r="M187" s="2631">
        <f t="shared" si="102"/>
        <v>0</v>
      </c>
      <c r="N187" s="2632">
        <f t="shared" si="102"/>
        <v>0</v>
      </c>
      <c r="O187" s="2632">
        <f t="shared" si="102"/>
        <v>0</v>
      </c>
      <c r="P187" s="2632">
        <f t="shared" si="102"/>
        <v>0</v>
      </c>
      <c r="Q187" s="2632">
        <f t="shared" si="102"/>
        <v>0</v>
      </c>
      <c r="R187" s="2633">
        <f t="shared" si="102"/>
        <v>0</v>
      </c>
      <c r="S187" s="2669">
        <f t="shared" si="102"/>
        <v>0</v>
      </c>
      <c r="T187" s="2631">
        <f t="shared" si="103"/>
        <v>0</v>
      </c>
      <c r="U187" s="2632">
        <f t="shared" si="103"/>
        <v>0</v>
      </c>
      <c r="V187" s="2632">
        <f t="shared" si="103"/>
        <v>0</v>
      </c>
      <c r="W187" s="2632">
        <f t="shared" si="103"/>
        <v>0</v>
      </c>
      <c r="X187" s="2632">
        <f t="shared" si="103"/>
        <v>0</v>
      </c>
      <c r="Y187" s="2633">
        <f t="shared" si="103"/>
        <v>0</v>
      </c>
      <c r="Z187" s="1592"/>
      <c r="AA187" s="1623"/>
      <c r="AB187" s="1647"/>
    </row>
    <row r="188" spans="1:28" s="1563" customFormat="1">
      <c r="A188" s="1650">
        <v>18</v>
      </c>
      <c r="B188" s="1753" t="s">
        <v>1525</v>
      </c>
      <c r="C188" s="1596">
        <v>0.04</v>
      </c>
      <c r="D188" s="1648" t="s">
        <v>606</v>
      </c>
      <c r="E188" s="2669">
        <f t="shared" si="100"/>
        <v>0</v>
      </c>
      <c r="F188" s="2631">
        <f t="shared" si="101"/>
        <v>0</v>
      </c>
      <c r="G188" s="2632">
        <f t="shared" si="101"/>
        <v>0</v>
      </c>
      <c r="H188" s="2632">
        <f t="shared" si="101"/>
        <v>0</v>
      </c>
      <c r="I188" s="2632">
        <f t="shared" si="101"/>
        <v>0</v>
      </c>
      <c r="J188" s="2632">
        <f t="shared" si="101"/>
        <v>0</v>
      </c>
      <c r="K188" s="2633">
        <f t="shared" si="101"/>
        <v>0</v>
      </c>
      <c r="L188" s="2669">
        <f t="shared" si="101"/>
        <v>0</v>
      </c>
      <c r="M188" s="2631">
        <f t="shared" si="102"/>
        <v>0</v>
      </c>
      <c r="N188" s="2632">
        <f t="shared" si="102"/>
        <v>0</v>
      </c>
      <c r="O188" s="2632">
        <f t="shared" si="102"/>
        <v>0</v>
      </c>
      <c r="P188" s="2632">
        <f t="shared" si="102"/>
        <v>0</v>
      </c>
      <c r="Q188" s="2632">
        <f t="shared" si="102"/>
        <v>0</v>
      </c>
      <c r="R188" s="2633">
        <f t="shared" si="102"/>
        <v>0</v>
      </c>
      <c r="S188" s="2669">
        <f t="shared" si="102"/>
        <v>0</v>
      </c>
      <c r="T188" s="2631">
        <f t="shared" si="103"/>
        <v>0</v>
      </c>
      <c r="U188" s="2632">
        <f t="shared" si="103"/>
        <v>0</v>
      </c>
      <c r="V188" s="2632">
        <f t="shared" si="103"/>
        <v>0</v>
      </c>
      <c r="W188" s="2632">
        <f t="shared" si="103"/>
        <v>0</v>
      </c>
      <c r="X188" s="2632">
        <f t="shared" si="103"/>
        <v>0</v>
      </c>
      <c r="Y188" s="2633">
        <f t="shared" si="103"/>
        <v>0</v>
      </c>
      <c r="Z188" s="1592"/>
      <c r="AA188" s="1623"/>
      <c r="AB188" s="1647"/>
    </row>
    <row r="189" spans="1:28" s="1563" customFormat="1" ht="23.25" customHeight="1" thickBot="1">
      <c r="A189" s="1650">
        <v>19</v>
      </c>
      <c r="B189" s="1595">
        <v>215</v>
      </c>
      <c r="C189" s="1600">
        <v>0.2</v>
      </c>
      <c r="D189" s="1546" t="s">
        <v>911</v>
      </c>
      <c r="E189" s="2669">
        <f t="shared" si="100"/>
        <v>0</v>
      </c>
      <c r="F189" s="2653">
        <f t="shared" si="101"/>
        <v>0</v>
      </c>
      <c r="G189" s="2651">
        <f t="shared" si="101"/>
        <v>0</v>
      </c>
      <c r="H189" s="2651">
        <f t="shared" si="101"/>
        <v>82.522849271180021</v>
      </c>
      <c r="I189" s="2651">
        <f t="shared" si="101"/>
        <v>150.81990381285999</v>
      </c>
      <c r="J189" s="2651">
        <f t="shared" si="101"/>
        <v>195.36754525322644</v>
      </c>
      <c r="K189" s="2652">
        <f t="shared" si="101"/>
        <v>199.90578348516348</v>
      </c>
      <c r="L189" s="2669">
        <f t="shared" si="101"/>
        <v>0</v>
      </c>
      <c r="M189" s="2653">
        <f t="shared" si="102"/>
        <v>0</v>
      </c>
      <c r="N189" s="2651">
        <f t="shared" si="102"/>
        <v>0</v>
      </c>
      <c r="O189" s="2651">
        <f t="shared" si="102"/>
        <v>4.7968388670393658</v>
      </c>
      <c r="P189" s="2651">
        <f t="shared" si="102"/>
        <v>38.930864428693667</v>
      </c>
      <c r="Q189" s="2651">
        <f t="shared" si="102"/>
        <v>72.632855148160189</v>
      </c>
      <c r="R189" s="2652">
        <f t="shared" si="102"/>
        <v>83.602620477234012</v>
      </c>
      <c r="S189" s="2669">
        <f t="shared" si="102"/>
        <v>0</v>
      </c>
      <c r="T189" s="2653">
        <f t="shared" si="103"/>
        <v>0</v>
      </c>
      <c r="U189" s="2651">
        <f t="shared" si="103"/>
        <v>0</v>
      </c>
      <c r="V189" s="2651">
        <f t="shared" si="103"/>
        <v>11.680311861780607</v>
      </c>
      <c r="W189" s="2651">
        <f t="shared" si="103"/>
        <v>13.249231758446333</v>
      </c>
      <c r="X189" s="2651">
        <f t="shared" si="103"/>
        <v>10.999599598613329</v>
      </c>
      <c r="Y189" s="2652">
        <f t="shared" si="103"/>
        <v>7.4915960376024273</v>
      </c>
      <c r="Z189" s="1592"/>
      <c r="AA189" s="1623"/>
      <c r="AB189" s="1647"/>
    </row>
    <row r="190" spans="1:28" ht="38.25" customHeight="1" thickBot="1">
      <c r="A190" s="1634" t="s">
        <v>596</v>
      </c>
      <c r="B190" s="1634"/>
      <c r="C190" s="1634"/>
      <c r="D190" s="1635" t="s">
        <v>867</v>
      </c>
      <c r="E190" s="2670"/>
      <c r="F190" s="2671"/>
      <c r="G190" s="2672"/>
      <c r="H190" s="2672"/>
      <c r="I190" s="2672"/>
      <c r="J190" s="2672"/>
      <c r="K190" s="2673"/>
      <c r="L190" s="2670"/>
      <c r="M190" s="2671"/>
      <c r="N190" s="2672"/>
      <c r="O190" s="2672"/>
      <c r="P190" s="2672"/>
      <c r="Q190" s="2672"/>
      <c r="R190" s="2673"/>
      <c r="S190" s="2670"/>
      <c r="T190" s="2674"/>
      <c r="U190" s="2675"/>
      <c r="V190" s="2675"/>
      <c r="W190" s="2675"/>
      <c r="X190" s="2675"/>
      <c r="Y190" s="2676"/>
      <c r="Z190" s="1638"/>
      <c r="AA190" s="1622"/>
      <c r="AB190" s="1584"/>
    </row>
    <row r="191" spans="1:28" s="1563" customFormat="1" ht="15" customHeight="1" thickBot="1">
      <c r="A191" s="1585" t="s">
        <v>268</v>
      </c>
      <c r="B191" s="1586"/>
      <c r="C191" s="1586"/>
      <c r="D191" s="1586" t="s">
        <v>483</v>
      </c>
      <c r="E191" s="2642">
        <f t="shared" ref="E191:Y191" si="104">SUM(E192:E212)</f>
        <v>75963</v>
      </c>
      <c r="F191" s="2637">
        <f t="shared" si="104"/>
        <v>75963</v>
      </c>
      <c r="G191" s="1098">
        <f t="shared" si="104"/>
        <v>79672</v>
      </c>
      <c r="H191" s="1098">
        <f t="shared" si="104"/>
        <v>86678</v>
      </c>
      <c r="I191" s="1999">
        <f t="shared" si="104"/>
        <v>98157</v>
      </c>
      <c r="J191" s="1098">
        <f t="shared" si="104"/>
        <v>106749</v>
      </c>
      <c r="K191" s="1098">
        <f t="shared" si="104"/>
        <v>106749</v>
      </c>
      <c r="L191" s="2642">
        <f t="shared" si="104"/>
        <v>39024</v>
      </c>
      <c r="M191" s="2637">
        <f t="shared" si="104"/>
        <v>39024</v>
      </c>
      <c r="N191" s="1098">
        <f t="shared" si="104"/>
        <v>48329</v>
      </c>
      <c r="O191" s="1098">
        <f t="shared" si="104"/>
        <v>48329</v>
      </c>
      <c r="P191" s="1999">
        <f t="shared" si="104"/>
        <v>52450</v>
      </c>
      <c r="Q191" s="1098">
        <f t="shared" si="104"/>
        <v>101792</v>
      </c>
      <c r="R191" s="1098">
        <f t="shared" si="104"/>
        <v>101792</v>
      </c>
      <c r="S191" s="2642">
        <f t="shared" si="104"/>
        <v>17609</v>
      </c>
      <c r="T191" s="2655">
        <f t="shared" si="104"/>
        <v>17609</v>
      </c>
      <c r="U191" s="2656">
        <f t="shared" si="104"/>
        <v>20253</v>
      </c>
      <c r="V191" s="2656">
        <f t="shared" si="104"/>
        <v>35252</v>
      </c>
      <c r="W191" s="2657">
        <f t="shared" si="104"/>
        <v>47102</v>
      </c>
      <c r="X191" s="2656">
        <f t="shared" si="104"/>
        <v>49241</v>
      </c>
      <c r="Y191" s="2658">
        <f t="shared" si="104"/>
        <v>49241</v>
      </c>
      <c r="Z191" s="1592"/>
      <c r="AA191" s="1623"/>
      <c r="AB191" s="1647"/>
    </row>
    <row r="192" spans="1:28" s="1563" customFormat="1">
      <c r="A192" s="1594">
        <v>1</v>
      </c>
      <c r="B192" s="1652" t="s">
        <v>949</v>
      </c>
      <c r="C192" s="1611">
        <v>0</v>
      </c>
      <c r="D192" s="279" t="s">
        <v>760</v>
      </c>
      <c r="E192" s="2169">
        <v>16</v>
      </c>
      <c r="F192" s="901">
        <f>E192+SUMIF('11.2. Нови активи отч.год.'!$B$111:$B$131,$B192,'11.2. Нови активи отч.год.'!F$111:F$131)</f>
        <v>16</v>
      </c>
      <c r="G192" s="902">
        <f>F192+SUMIF('11.2. Нови активи отч.год.'!$B$111:$B$131,$B192,'11.2. Нови активи отч.год.'!G$111:G$131)</f>
        <v>16</v>
      </c>
      <c r="H192" s="902">
        <f>G192+SUMIF('11.2. Нови активи отч.год.'!$B$111:$B$131,$B192,'11.2. Нови активи отч.год.'!H$111:H$131)</f>
        <v>16</v>
      </c>
      <c r="I192" s="902">
        <f>H192+SUMIF('11.2. Нови активи отч.год.'!$B$111:$B$131,$B192,'11.2. Нови активи отч.год.'!I$111:I$131)</f>
        <v>16</v>
      </c>
      <c r="J192" s="902">
        <f>I192+SUMIF('11.2. Нови активи отч.год.'!$B$111:$B$131,$B192,'11.2. Нови активи отч.год.'!J$111:J$131)</f>
        <v>16</v>
      </c>
      <c r="K192" s="903">
        <f>J192+SUMIF('11.2. Нови активи отч.год.'!$B$111:$B$131,$B192,'11.2. Нови активи отч.год.'!K$111:K$131)</f>
        <v>16</v>
      </c>
      <c r="L192" s="2169"/>
      <c r="M192" s="901">
        <f>L192+SUMIF('11.2. Нови активи отч.год.'!$B$111:$B$131,$B192,'11.2. Нови активи отч.год.'!M$111:M$131)</f>
        <v>0</v>
      </c>
      <c r="N192" s="902">
        <f>M192+SUMIF('11.2. Нови активи отч.год.'!$B$111:$B$131,$B192,'11.2. Нови активи отч.год.'!N$111:N$131)</f>
        <v>0</v>
      </c>
      <c r="O192" s="902">
        <f>N192+SUMIF('11.2. Нови активи отч.год.'!$B$111:$B$131,$B192,'11.2. Нови активи отч.год.'!O$111:O$131)</f>
        <v>0</v>
      </c>
      <c r="P192" s="902">
        <f>O192+SUMIF('11.2. Нови активи отч.год.'!$B$111:$B$131,$B192,'11.2. Нови активи отч.год.'!P$111:P$131)</f>
        <v>0</v>
      </c>
      <c r="Q192" s="902">
        <f>P192+SUMIF('11.2. Нови активи отч.год.'!$B$111:$B$131,$B192,'11.2. Нови активи отч.год.'!Q$111:Q$131)</f>
        <v>0</v>
      </c>
      <c r="R192" s="903">
        <f>Q192+SUMIF('11.2. Нови активи отч.год.'!$B$111:$B$131,$B192,'11.2. Нови активи отч.год.'!R$111:R$131)</f>
        <v>0</v>
      </c>
      <c r="S192" s="2169"/>
      <c r="T192" s="901">
        <f>S192+SUMIF('11.2. Нови активи отч.год.'!$B$111:$B$131,$B192,'11.2. Нови активи отч.год.'!T$111:T$131)</f>
        <v>0</v>
      </c>
      <c r="U192" s="902">
        <f>T192+SUMIF('11.2. Нови активи отч.год.'!$B$111:$B$131,$B192,'11.2. Нови активи отч.год.'!U$111:U$131)</f>
        <v>0</v>
      </c>
      <c r="V192" s="902">
        <f>U192+SUMIF('11.2. Нови активи отч.год.'!$B$111:$B$131,$B192,'11.2. Нови активи отч.год.'!V$111:V$131)</f>
        <v>0</v>
      </c>
      <c r="W192" s="902">
        <f>V192+SUMIF('11.2. Нови активи отч.год.'!$B$111:$B$131,$B192,'11.2. Нови активи отч.год.'!W$111:W$131)</f>
        <v>0</v>
      </c>
      <c r="X192" s="902">
        <f>W192+SUMIF('11.2. Нови активи отч.год.'!$B$111:$B$131,$B192,'11.2. Нови активи отч.год.'!X$111:X$131)</f>
        <v>0</v>
      </c>
      <c r="Y192" s="903">
        <f>X192+SUMIF('11.2. Нови активи отч.год.'!$B$111:$B$131,$B192,'11.2. Нови активи отч.год.'!Y$111:Y$131)</f>
        <v>0</v>
      </c>
      <c r="Z192" s="1592"/>
      <c r="AA192" s="1623"/>
      <c r="AB192" s="1647"/>
    </row>
    <row r="193" spans="1:28" s="1563" customFormat="1">
      <c r="A193" s="1594">
        <v>2</v>
      </c>
      <c r="B193" s="1595" t="s">
        <v>950</v>
      </c>
      <c r="C193" s="1596">
        <v>0.03</v>
      </c>
      <c r="D193" s="1648" t="s">
        <v>598</v>
      </c>
      <c r="E193" s="2169">
        <v>357</v>
      </c>
      <c r="F193" s="898">
        <f>E193+SUMIF('11.2. Нови активи отч.год.'!$B$111:$B$131,$B193,'11.2. Нови активи отч.год.'!F$111:F$131)</f>
        <v>357</v>
      </c>
      <c r="G193" s="899">
        <f>F193+SUMIF('11.2. Нови активи отч.год.'!$B$111:$B$131,$B193,'11.2. Нови активи отч.год.'!G$111:G$131)</f>
        <v>357</v>
      </c>
      <c r="H193" s="899">
        <f>G193+SUMIF('11.2. Нови активи отч.год.'!$B$111:$B$131,$B193,'11.2. Нови активи отч.год.'!H$111:H$131)</f>
        <v>357</v>
      </c>
      <c r="I193" s="899">
        <f>H193+SUMIF('11.2. Нови активи отч.год.'!$B$111:$B$131,$B193,'11.2. Нови активи отч.год.'!I$111:I$131)</f>
        <v>357</v>
      </c>
      <c r="J193" s="899">
        <f>I193+SUMIF('11.2. Нови активи отч.год.'!$B$111:$B$131,$B193,'11.2. Нови активи отч.год.'!J$111:J$131)</f>
        <v>357</v>
      </c>
      <c r="K193" s="900">
        <f>J193+SUMIF('11.2. Нови активи отч.год.'!$B$111:$B$131,$B193,'11.2. Нови активи отч.год.'!K$111:K$131)</f>
        <v>357</v>
      </c>
      <c r="L193" s="2169"/>
      <c r="M193" s="898">
        <f>L193+SUMIF('11.2. Нови активи отч.год.'!$B$111:$B$131,$B193,'11.2. Нови активи отч.год.'!M$111:M$131)</f>
        <v>0</v>
      </c>
      <c r="N193" s="899">
        <f>M193+SUMIF('11.2. Нови активи отч.год.'!$B$111:$B$131,$B193,'11.2. Нови активи отч.год.'!N$111:N$131)</f>
        <v>0</v>
      </c>
      <c r="O193" s="899">
        <f>N193+SUMIF('11.2. Нови активи отч.год.'!$B$111:$B$131,$B193,'11.2. Нови активи отч.год.'!O$111:O$131)</f>
        <v>0</v>
      </c>
      <c r="P193" s="899">
        <f>O193+SUMIF('11.2. Нови активи отч.год.'!$B$111:$B$131,$B193,'11.2. Нови активи отч.год.'!P$111:P$131)</f>
        <v>0</v>
      </c>
      <c r="Q193" s="899">
        <f>P193+SUMIF('11.2. Нови активи отч.год.'!$B$111:$B$131,$B193,'11.2. Нови активи отч.год.'!Q$111:Q$131)</f>
        <v>0</v>
      </c>
      <c r="R193" s="900">
        <f>Q193+SUMIF('11.2. Нови активи отч.год.'!$B$111:$B$131,$B193,'11.2. Нови активи отч.год.'!R$111:R$131)</f>
        <v>0</v>
      </c>
      <c r="S193" s="2169"/>
      <c r="T193" s="898">
        <f>S193+SUMIF('11.2. Нови активи отч.год.'!$B$111:$B$131,$B193,'11.2. Нови активи отч.год.'!T$111:T$131)</f>
        <v>0</v>
      </c>
      <c r="U193" s="899">
        <f>T193+SUMIF('11.2. Нови активи отч.год.'!$B$111:$B$131,$B193,'11.2. Нови активи отч.год.'!U$111:U$131)</f>
        <v>0</v>
      </c>
      <c r="V193" s="899">
        <f>U193+SUMIF('11.2. Нови активи отч.год.'!$B$111:$B$131,$B193,'11.2. Нови активи отч.год.'!V$111:V$131)</f>
        <v>0</v>
      </c>
      <c r="W193" s="899">
        <f>V193+SUMIF('11.2. Нови активи отч.год.'!$B$111:$B$131,$B193,'11.2. Нови активи отч.год.'!W$111:W$131)</f>
        <v>0</v>
      </c>
      <c r="X193" s="899">
        <f>W193+SUMIF('11.2. Нови активи отч.год.'!$B$111:$B$131,$B193,'11.2. Нови активи отч.год.'!X$111:X$131)</f>
        <v>0</v>
      </c>
      <c r="Y193" s="900">
        <f>X193+SUMIF('11.2. Нови активи отч.год.'!$B$111:$B$131,$B193,'11.2. Нови активи отч.год.'!Y$111:Y$131)</f>
        <v>0</v>
      </c>
      <c r="Z193" s="1592"/>
      <c r="AA193" s="1623"/>
      <c r="AB193" s="1647"/>
    </row>
    <row r="194" spans="1:28" s="1563" customFormat="1">
      <c r="A194" s="1594">
        <v>3</v>
      </c>
      <c r="B194" s="1595">
        <v>911301</v>
      </c>
      <c r="C194" s="1596">
        <v>0.1</v>
      </c>
      <c r="D194" s="1648" t="s">
        <v>599</v>
      </c>
      <c r="E194" s="2169"/>
      <c r="F194" s="898">
        <f>E194+SUMIF('11.2. Нови активи отч.год.'!$B$111:$B$131,$B194,'11.2. Нови активи отч.год.'!F$111:F$131)</f>
        <v>0</v>
      </c>
      <c r="G194" s="899">
        <f>F194+SUMIF('11.2. Нови активи отч.год.'!$B$111:$B$131,$B194,'11.2. Нови активи отч.год.'!G$111:G$131)</f>
        <v>0</v>
      </c>
      <c r="H194" s="899">
        <f>G194+SUMIF('11.2. Нови активи отч.год.'!$B$111:$B$131,$B194,'11.2. Нови активи отч.год.'!H$111:H$131)</f>
        <v>0</v>
      </c>
      <c r="I194" s="899">
        <f>H194+SUMIF('11.2. Нови активи отч.год.'!$B$111:$B$131,$B194,'11.2. Нови активи отч.год.'!I$111:I$131)</f>
        <v>0</v>
      </c>
      <c r="J194" s="899">
        <f>I194+SUMIF('11.2. Нови активи отч.год.'!$B$111:$B$131,$B194,'11.2. Нови активи отч.год.'!J$111:J$131)</f>
        <v>0</v>
      </c>
      <c r="K194" s="900">
        <f>J194+SUMIF('11.2. Нови активи отч.год.'!$B$111:$B$131,$B194,'11.2. Нови активи отч.год.'!K$111:K$131)</f>
        <v>0</v>
      </c>
      <c r="L194" s="2169"/>
      <c r="M194" s="898">
        <f>L194+SUMIF('11.2. Нови активи отч.год.'!$B$111:$B$131,$B194,'11.2. Нови активи отч.год.'!M$111:M$131)</f>
        <v>0</v>
      </c>
      <c r="N194" s="899">
        <f>M194+SUMIF('11.2. Нови активи отч.год.'!$B$111:$B$131,$B194,'11.2. Нови активи отч.год.'!N$111:N$131)</f>
        <v>0</v>
      </c>
      <c r="O194" s="899">
        <f>N194+SUMIF('11.2. Нови активи отч.год.'!$B$111:$B$131,$B194,'11.2. Нови активи отч.год.'!O$111:O$131)</f>
        <v>0</v>
      </c>
      <c r="P194" s="899">
        <f>O194+SUMIF('11.2. Нови активи отч.год.'!$B$111:$B$131,$B194,'11.2. Нови активи отч.год.'!P$111:P$131)</f>
        <v>0</v>
      </c>
      <c r="Q194" s="899">
        <f>P194+SUMIF('11.2. Нови активи отч.год.'!$B$111:$B$131,$B194,'11.2. Нови активи отч.год.'!Q$111:Q$131)</f>
        <v>0</v>
      </c>
      <c r="R194" s="900">
        <f>Q194+SUMIF('11.2. Нови активи отч.год.'!$B$111:$B$131,$B194,'11.2. Нови активи отч.год.'!R$111:R$131)</f>
        <v>0</v>
      </c>
      <c r="S194" s="2169"/>
      <c r="T194" s="898">
        <f>S194+SUMIF('11.2. Нови активи отч.год.'!$B$111:$B$131,$B194,'11.2. Нови активи отч.год.'!T$111:T$131)</f>
        <v>0</v>
      </c>
      <c r="U194" s="899">
        <f>T194+SUMIF('11.2. Нови активи отч.год.'!$B$111:$B$131,$B194,'11.2. Нови активи отч.год.'!U$111:U$131)</f>
        <v>0</v>
      </c>
      <c r="V194" s="899">
        <f>U194+SUMIF('11.2. Нови активи отч.год.'!$B$111:$B$131,$B194,'11.2. Нови активи отч.год.'!V$111:V$131)</f>
        <v>0</v>
      </c>
      <c r="W194" s="899">
        <f>V194+SUMIF('11.2. Нови активи отч.год.'!$B$111:$B$131,$B194,'11.2. Нови активи отч.год.'!W$111:W$131)</f>
        <v>0</v>
      </c>
      <c r="X194" s="899">
        <f>W194+SUMIF('11.2. Нови активи отч.год.'!$B$111:$B$131,$B194,'11.2. Нови активи отч.год.'!X$111:X$131)</f>
        <v>0</v>
      </c>
      <c r="Y194" s="900">
        <f>X194+SUMIF('11.2. Нови активи отч.год.'!$B$111:$B$131,$B194,'11.2. Нови активи отч.год.'!Y$111:Y$131)</f>
        <v>0</v>
      </c>
      <c r="Z194" s="1592"/>
      <c r="AA194" s="1623"/>
      <c r="AB194" s="1647"/>
    </row>
    <row r="195" spans="1:28" s="1563" customFormat="1">
      <c r="A195" s="1594">
        <v>4</v>
      </c>
      <c r="B195" s="1595">
        <v>911302</v>
      </c>
      <c r="C195" s="1596">
        <v>0.1</v>
      </c>
      <c r="D195" s="1648" t="s">
        <v>600</v>
      </c>
      <c r="E195" s="2169"/>
      <c r="F195" s="898">
        <f>E195+SUMIF('11.2. Нови активи отч.год.'!$B$111:$B$131,$B195,'11.2. Нови активи отч.год.'!F$111:F$131)</f>
        <v>0</v>
      </c>
      <c r="G195" s="899">
        <f>F195+SUMIF('11.2. Нови активи отч.год.'!$B$111:$B$131,$B195,'11.2. Нови активи отч.год.'!G$111:G$131)</f>
        <v>0</v>
      </c>
      <c r="H195" s="899">
        <f>G195+SUMIF('11.2. Нови активи отч.год.'!$B$111:$B$131,$B195,'11.2. Нови активи отч.год.'!H$111:H$131)</f>
        <v>0</v>
      </c>
      <c r="I195" s="899">
        <f>H195+SUMIF('11.2. Нови активи отч.год.'!$B$111:$B$131,$B195,'11.2. Нови активи отч.год.'!I$111:I$131)</f>
        <v>0</v>
      </c>
      <c r="J195" s="899">
        <f>I195+SUMIF('11.2. Нови активи отч.год.'!$B$111:$B$131,$B195,'11.2. Нови активи отч.год.'!J$111:J$131)</f>
        <v>0</v>
      </c>
      <c r="K195" s="900">
        <f>J195+SUMIF('11.2. Нови активи отч.год.'!$B$111:$B$131,$B195,'11.2. Нови активи отч.год.'!K$111:K$131)</f>
        <v>0</v>
      </c>
      <c r="L195" s="2169"/>
      <c r="M195" s="898">
        <f>L195+SUMIF('11.2. Нови активи отч.год.'!$B$111:$B$131,$B195,'11.2. Нови активи отч.год.'!M$111:M$131)</f>
        <v>0</v>
      </c>
      <c r="N195" s="899">
        <f>M195+SUMIF('11.2. Нови активи отч.год.'!$B$111:$B$131,$B195,'11.2. Нови активи отч.год.'!N$111:N$131)</f>
        <v>0</v>
      </c>
      <c r="O195" s="899">
        <f>N195+SUMIF('11.2. Нови активи отч.год.'!$B$111:$B$131,$B195,'11.2. Нови активи отч.год.'!O$111:O$131)</f>
        <v>0</v>
      </c>
      <c r="P195" s="899">
        <f>O195+SUMIF('11.2. Нови активи отч.год.'!$B$111:$B$131,$B195,'11.2. Нови активи отч.год.'!P$111:P$131)</f>
        <v>0</v>
      </c>
      <c r="Q195" s="899">
        <f>P195+SUMIF('11.2. Нови активи отч.год.'!$B$111:$B$131,$B195,'11.2. Нови активи отч.год.'!Q$111:Q$131)</f>
        <v>0</v>
      </c>
      <c r="R195" s="900">
        <f>Q195+SUMIF('11.2. Нови активи отч.год.'!$B$111:$B$131,$B195,'11.2. Нови активи отч.год.'!R$111:R$131)</f>
        <v>0</v>
      </c>
      <c r="S195" s="2169"/>
      <c r="T195" s="898">
        <f>S195+SUMIF('11.2. Нови активи отч.год.'!$B$111:$B$131,$B195,'11.2. Нови активи отч.год.'!T$111:T$131)</f>
        <v>0</v>
      </c>
      <c r="U195" s="899">
        <f>T195+SUMIF('11.2. Нови активи отч.год.'!$B$111:$B$131,$B195,'11.2. Нови активи отч.год.'!U$111:U$131)</f>
        <v>0</v>
      </c>
      <c r="V195" s="899">
        <f>U195+SUMIF('11.2. Нови активи отч.год.'!$B$111:$B$131,$B195,'11.2. Нови активи отч.год.'!V$111:V$131)</f>
        <v>0</v>
      </c>
      <c r="W195" s="899">
        <f>V195+SUMIF('11.2. Нови активи отч.год.'!$B$111:$B$131,$B195,'11.2. Нови активи отч.год.'!W$111:W$131)</f>
        <v>0</v>
      </c>
      <c r="X195" s="899">
        <f>W195+SUMIF('11.2. Нови активи отч.год.'!$B$111:$B$131,$B195,'11.2. Нови активи отч.год.'!X$111:X$131)</f>
        <v>0</v>
      </c>
      <c r="Y195" s="900">
        <f>X195+SUMIF('11.2. Нови активи отч.год.'!$B$111:$B$131,$B195,'11.2. Нови активи отч.год.'!Y$111:Y$131)</f>
        <v>0</v>
      </c>
      <c r="Z195" s="1592"/>
      <c r="AA195" s="1623"/>
      <c r="AB195" s="1647"/>
    </row>
    <row r="196" spans="1:28" s="1563" customFormat="1">
      <c r="A196" s="1594">
        <v>5</v>
      </c>
      <c r="B196" s="1595" t="s">
        <v>967</v>
      </c>
      <c r="C196" s="1596">
        <v>0.1</v>
      </c>
      <c r="D196" s="1546" t="s">
        <v>579</v>
      </c>
      <c r="E196" s="2169"/>
      <c r="F196" s="898">
        <f>E196+SUMIF('11.2. Нови активи отч.год.'!$B$111:$B$131,$B196,'11.2. Нови активи отч.год.'!F$111:F$131)</f>
        <v>0</v>
      </c>
      <c r="G196" s="899">
        <f>F196+SUMIF('11.2. Нови активи отч.год.'!$B$111:$B$131,$B196,'11.2. Нови активи отч.год.'!G$111:G$131)</f>
        <v>0</v>
      </c>
      <c r="H196" s="899">
        <f>G196+SUMIF('11.2. Нови активи отч.год.'!$B$111:$B$131,$B196,'11.2. Нови активи отч.год.'!H$111:H$131)</f>
        <v>0</v>
      </c>
      <c r="I196" s="899">
        <f>H196+SUMIF('11.2. Нови активи отч.год.'!$B$111:$B$131,$B196,'11.2. Нови активи отч.год.'!I$111:I$131)</f>
        <v>0</v>
      </c>
      <c r="J196" s="899">
        <f>I196+SUMIF('11.2. Нови активи отч.год.'!$B$111:$B$131,$B196,'11.2. Нови активи отч.год.'!J$111:J$131)</f>
        <v>0</v>
      </c>
      <c r="K196" s="900">
        <f>J196+SUMIF('11.2. Нови активи отч.год.'!$B$111:$B$131,$B196,'11.2. Нови активи отч.год.'!K$111:K$131)</f>
        <v>0</v>
      </c>
      <c r="L196" s="2169"/>
      <c r="M196" s="898">
        <f>L196+SUMIF('11.2. Нови активи отч.год.'!$B$111:$B$131,$B196,'11.2. Нови активи отч.год.'!M$111:M$131)</f>
        <v>0</v>
      </c>
      <c r="N196" s="899">
        <f>M196+SUMIF('11.2. Нови активи отч.год.'!$B$111:$B$131,$B196,'11.2. Нови активи отч.год.'!N$111:N$131)</f>
        <v>0</v>
      </c>
      <c r="O196" s="899">
        <f>N196+SUMIF('11.2. Нови активи отч.год.'!$B$111:$B$131,$B196,'11.2. Нови активи отч.год.'!O$111:O$131)</f>
        <v>0</v>
      </c>
      <c r="P196" s="899">
        <f>O196+SUMIF('11.2. Нови активи отч.год.'!$B$111:$B$131,$B196,'11.2. Нови активи отч.год.'!P$111:P$131)</f>
        <v>0</v>
      </c>
      <c r="Q196" s="899">
        <f>P196+SUMIF('11.2. Нови активи отч.год.'!$B$111:$B$131,$B196,'11.2. Нови активи отч.год.'!Q$111:Q$131)</f>
        <v>0</v>
      </c>
      <c r="R196" s="900">
        <f>Q196+SUMIF('11.2. Нови активи отч.год.'!$B$111:$B$131,$B196,'11.2. Нови активи отч.год.'!R$111:R$131)</f>
        <v>0</v>
      </c>
      <c r="S196" s="2169"/>
      <c r="T196" s="898">
        <f>S196+SUMIF('11.2. Нови активи отч.год.'!$B$111:$B$131,$B196,'11.2. Нови активи отч.год.'!T$111:T$131)</f>
        <v>0</v>
      </c>
      <c r="U196" s="899">
        <f>T196+SUMIF('11.2. Нови активи отч.год.'!$B$111:$B$131,$B196,'11.2. Нови активи отч.год.'!U$111:U$131)</f>
        <v>0</v>
      </c>
      <c r="V196" s="899">
        <f>U196+SUMIF('11.2. Нови активи отч.год.'!$B$111:$B$131,$B196,'11.2. Нови активи отч.год.'!V$111:V$131)</f>
        <v>0</v>
      </c>
      <c r="W196" s="899">
        <f>V196+SUMIF('11.2. Нови активи отч.год.'!$B$111:$B$131,$B196,'11.2. Нови активи отч.год.'!W$111:W$131)</f>
        <v>0</v>
      </c>
      <c r="X196" s="899">
        <f>W196+SUMIF('11.2. Нови активи отч.год.'!$B$111:$B$131,$B196,'11.2. Нови активи отч.год.'!X$111:X$131)</f>
        <v>0</v>
      </c>
      <c r="Y196" s="900">
        <f>X196+SUMIF('11.2. Нови активи отч.год.'!$B$111:$B$131,$B196,'11.2. Нови активи отч.год.'!Y$111:Y$131)</f>
        <v>0</v>
      </c>
      <c r="Z196" s="1592"/>
      <c r="AA196" s="1623"/>
      <c r="AB196" s="1647"/>
    </row>
    <row r="197" spans="1:28" s="1563" customFormat="1">
      <c r="A197" s="1594">
        <v>6</v>
      </c>
      <c r="B197" s="1595" t="s">
        <v>968</v>
      </c>
      <c r="C197" s="1596">
        <v>0.1</v>
      </c>
      <c r="D197" s="1546" t="s">
        <v>1391</v>
      </c>
      <c r="E197" s="2169">
        <v>756</v>
      </c>
      <c r="F197" s="898">
        <f>E197+SUMIF('11.2. Нови активи отч.год.'!$B$111:$B$131,$B197,'11.2. Нови активи отч.год.'!F$111:F$131)</f>
        <v>756</v>
      </c>
      <c r="G197" s="899">
        <f>F197+SUMIF('11.2. Нови активи отч.год.'!$B$111:$B$131,$B197,'11.2. Нови активи отч.год.'!G$111:G$131)</f>
        <v>756</v>
      </c>
      <c r="H197" s="899">
        <f>G197+SUMIF('11.2. Нови активи отч.год.'!$B$111:$B$131,$B197,'11.2. Нови активи отч.год.'!H$111:H$131)</f>
        <v>756</v>
      </c>
      <c r="I197" s="899">
        <f>H197+SUMIF('11.2. Нови активи отч.год.'!$B$111:$B$131,$B197,'11.2. Нови активи отч.год.'!I$111:I$131)</f>
        <v>756</v>
      </c>
      <c r="J197" s="899">
        <f>I197+SUMIF('11.2. Нови активи отч.год.'!$B$111:$B$131,$B197,'11.2. Нови активи отч.год.'!J$111:J$131)</f>
        <v>756</v>
      </c>
      <c r="K197" s="900">
        <f>J197+SUMIF('11.2. Нови активи отч.год.'!$B$111:$B$131,$B197,'11.2. Нови активи отч.год.'!K$111:K$131)</f>
        <v>756</v>
      </c>
      <c r="L197" s="2169"/>
      <c r="M197" s="898">
        <f>L197+SUMIF('11.2. Нови активи отч.год.'!$B$111:$B$131,$B197,'11.2. Нови активи отч.год.'!M$111:M$131)</f>
        <v>0</v>
      </c>
      <c r="N197" s="899">
        <f>M197+SUMIF('11.2. Нови активи отч.год.'!$B$111:$B$131,$B197,'11.2. Нови активи отч.год.'!N$111:N$131)</f>
        <v>0</v>
      </c>
      <c r="O197" s="899">
        <f>N197+SUMIF('11.2. Нови активи отч.год.'!$B$111:$B$131,$B197,'11.2. Нови активи отч.год.'!O$111:O$131)</f>
        <v>0</v>
      </c>
      <c r="P197" s="899">
        <f>O197+SUMIF('11.2. Нови активи отч.год.'!$B$111:$B$131,$B197,'11.2. Нови активи отч.год.'!P$111:P$131)</f>
        <v>0</v>
      </c>
      <c r="Q197" s="899">
        <f>P197+SUMIF('11.2. Нови активи отч.год.'!$B$111:$B$131,$B197,'11.2. Нови активи отч.год.'!Q$111:Q$131)</f>
        <v>0</v>
      </c>
      <c r="R197" s="900">
        <f>Q197+SUMIF('11.2. Нови активи отч.год.'!$B$111:$B$131,$B197,'11.2. Нови активи отч.год.'!R$111:R$131)</f>
        <v>0</v>
      </c>
      <c r="S197" s="2169"/>
      <c r="T197" s="898">
        <f>S197+SUMIF('11.2. Нови активи отч.год.'!$B$111:$B$131,$B197,'11.2. Нови активи отч.год.'!T$111:T$131)</f>
        <v>0</v>
      </c>
      <c r="U197" s="899">
        <f>T197+SUMIF('11.2. Нови активи отч.год.'!$B$111:$B$131,$B197,'11.2. Нови активи отч.год.'!U$111:U$131)</f>
        <v>0</v>
      </c>
      <c r="V197" s="899">
        <f>U197+SUMIF('11.2. Нови активи отч.год.'!$B$111:$B$131,$B197,'11.2. Нови активи отч.год.'!V$111:V$131)</f>
        <v>0</v>
      </c>
      <c r="W197" s="899">
        <f>V197+SUMIF('11.2. Нови активи отч.год.'!$B$111:$B$131,$B197,'11.2. Нови активи отч.год.'!W$111:W$131)</f>
        <v>0</v>
      </c>
      <c r="X197" s="899">
        <f>W197+SUMIF('11.2. Нови активи отч.год.'!$B$111:$B$131,$B197,'11.2. Нови активи отч.год.'!X$111:X$131)</f>
        <v>0</v>
      </c>
      <c r="Y197" s="900">
        <f>X197+SUMIF('11.2. Нови активи отч.год.'!$B$111:$B$131,$B197,'11.2. Нови активи отч.год.'!Y$111:Y$131)</f>
        <v>0</v>
      </c>
      <c r="Z197" s="1592"/>
      <c r="AA197" s="1623"/>
      <c r="AB197" s="1647"/>
    </row>
    <row r="198" spans="1:28" s="1563" customFormat="1" ht="24">
      <c r="A198" s="1594">
        <v>7</v>
      </c>
      <c r="B198" s="1595" t="s">
        <v>959</v>
      </c>
      <c r="C198" s="1596">
        <v>0.1</v>
      </c>
      <c r="D198" s="1546" t="s">
        <v>948</v>
      </c>
      <c r="E198" s="2169"/>
      <c r="F198" s="898">
        <f>E198+SUMIF('11.2. Нови активи отч.год.'!$B$111:$B$131,$B198,'11.2. Нови активи отч.год.'!F$111:F$131)</f>
        <v>0</v>
      </c>
      <c r="G198" s="899">
        <f>F198+SUMIF('11.2. Нови активи отч.год.'!$B$111:$B$131,$B198,'11.2. Нови активи отч.год.'!G$111:G$131)</f>
        <v>0</v>
      </c>
      <c r="H198" s="899">
        <f>G198+SUMIF('11.2. Нови активи отч.год.'!$B$111:$B$131,$B198,'11.2. Нови активи отч.год.'!H$111:H$131)</f>
        <v>0</v>
      </c>
      <c r="I198" s="899">
        <f>H198+SUMIF('11.2. Нови активи отч.год.'!$B$111:$B$131,$B198,'11.2. Нови активи отч.год.'!I$111:I$131)</f>
        <v>0</v>
      </c>
      <c r="J198" s="899">
        <f>I198+SUMIF('11.2. Нови активи отч.год.'!$B$111:$B$131,$B198,'11.2. Нови активи отч.год.'!J$111:J$131)</f>
        <v>0</v>
      </c>
      <c r="K198" s="900">
        <f>J198+SUMIF('11.2. Нови активи отч.год.'!$B$111:$B$131,$B198,'11.2. Нови активи отч.год.'!K$111:K$131)</f>
        <v>0</v>
      </c>
      <c r="L198" s="2169"/>
      <c r="M198" s="898">
        <f>L198+SUMIF('11.2. Нови активи отч.год.'!$B$111:$B$131,$B198,'11.2. Нови активи отч.год.'!M$111:M$131)</f>
        <v>0</v>
      </c>
      <c r="N198" s="899">
        <f>M198+SUMIF('11.2. Нови активи отч.год.'!$B$111:$B$131,$B198,'11.2. Нови активи отч.год.'!N$111:N$131)</f>
        <v>0</v>
      </c>
      <c r="O198" s="899">
        <f>N198+SUMIF('11.2. Нови активи отч.год.'!$B$111:$B$131,$B198,'11.2. Нови активи отч.год.'!O$111:O$131)</f>
        <v>0</v>
      </c>
      <c r="P198" s="899">
        <f>O198+SUMIF('11.2. Нови активи отч.год.'!$B$111:$B$131,$B198,'11.2. Нови активи отч.год.'!P$111:P$131)</f>
        <v>0</v>
      </c>
      <c r="Q198" s="899">
        <f>P198+SUMIF('11.2. Нови активи отч.год.'!$B$111:$B$131,$B198,'11.2. Нови активи отч.год.'!Q$111:Q$131)</f>
        <v>0</v>
      </c>
      <c r="R198" s="900">
        <f>Q198+SUMIF('11.2. Нови активи отч.год.'!$B$111:$B$131,$B198,'11.2. Нови активи отч.год.'!R$111:R$131)</f>
        <v>0</v>
      </c>
      <c r="S198" s="2169"/>
      <c r="T198" s="898">
        <f>S198+SUMIF('11.2. Нови активи отч.год.'!$B$111:$B$131,$B198,'11.2. Нови активи отч.год.'!T$111:T$131)</f>
        <v>0</v>
      </c>
      <c r="U198" s="899">
        <f>T198+SUMIF('11.2. Нови активи отч.год.'!$B$111:$B$131,$B198,'11.2. Нови активи отч.год.'!U$111:U$131)</f>
        <v>0</v>
      </c>
      <c r="V198" s="899">
        <f>U198+SUMIF('11.2. Нови активи отч.год.'!$B$111:$B$131,$B198,'11.2. Нови активи отч.год.'!V$111:V$131)</f>
        <v>0</v>
      </c>
      <c r="W198" s="899">
        <f>V198+SUMIF('11.2. Нови активи отч.год.'!$B$111:$B$131,$B198,'11.2. Нови активи отч.год.'!W$111:W$131)</f>
        <v>0</v>
      </c>
      <c r="X198" s="899">
        <f>W198+SUMIF('11.2. Нови активи отч.год.'!$B$111:$B$131,$B198,'11.2. Нови активи отч.год.'!X$111:X$131)</f>
        <v>0</v>
      </c>
      <c r="Y198" s="900">
        <f>X198+SUMIF('11.2. Нови активи отч.год.'!$B$111:$B$131,$B198,'11.2. Нови активи отч.год.'!Y$111:Y$131)</f>
        <v>0</v>
      </c>
      <c r="Z198" s="1592"/>
      <c r="AA198" s="1623"/>
      <c r="AB198" s="1647"/>
    </row>
    <row r="199" spans="1:28" s="1563" customFormat="1">
      <c r="A199" s="1594">
        <v>8</v>
      </c>
      <c r="B199" s="1595" t="s">
        <v>969</v>
      </c>
      <c r="C199" s="1596">
        <v>0.1</v>
      </c>
      <c r="D199" s="1546" t="s">
        <v>966</v>
      </c>
      <c r="E199" s="2169">
        <v>665</v>
      </c>
      <c r="F199" s="898">
        <f>E199+SUMIF('11.2. Нови активи отч.год.'!$B$111:$B$131,$B199,'11.2. Нови активи отч.год.'!F$111:F$131)</f>
        <v>665</v>
      </c>
      <c r="G199" s="899">
        <f>F199+SUMIF('11.2. Нови активи отч.год.'!$B$111:$B$131,$B199,'11.2. Нови активи отч.год.'!G$111:G$131)</f>
        <v>870</v>
      </c>
      <c r="H199" s="899">
        <f>G199+SUMIF('11.2. Нови активи отч.год.'!$B$111:$B$131,$B199,'11.2. Нови активи отч.год.'!H$111:H$131)</f>
        <v>870</v>
      </c>
      <c r="I199" s="899">
        <f>H199+SUMIF('11.2. Нови активи отч.год.'!$B$111:$B$131,$B199,'11.2. Нови активи отч.год.'!I$111:I$131)</f>
        <v>870</v>
      </c>
      <c r="J199" s="899">
        <f>I199+SUMIF('11.2. Нови активи отч.год.'!$B$111:$B$131,$B199,'11.2. Нови активи отч.год.'!J$111:J$131)</f>
        <v>870</v>
      </c>
      <c r="K199" s="900">
        <f>J199+SUMIF('11.2. Нови активи отч.год.'!$B$111:$B$131,$B199,'11.2. Нови активи отч.год.'!K$111:K$131)</f>
        <v>870</v>
      </c>
      <c r="L199" s="2169"/>
      <c r="M199" s="898">
        <f>L199+SUMIF('11.2. Нови активи отч.год.'!$B$111:$B$131,$B199,'11.2. Нови активи отч.год.'!M$111:M$131)</f>
        <v>0</v>
      </c>
      <c r="N199" s="899">
        <f>M199+SUMIF('11.2. Нови активи отч.год.'!$B$111:$B$131,$B199,'11.2. Нови активи отч.год.'!N$111:N$131)</f>
        <v>0</v>
      </c>
      <c r="O199" s="899">
        <f>N199+SUMIF('11.2. Нови активи отч.год.'!$B$111:$B$131,$B199,'11.2. Нови активи отч.год.'!O$111:O$131)</f>
        <v>0</v>
      </c>
      <c r="P199" s="899">
        <f>O199+SUMIF('11.2. Нови активи отч.год.'!$B$111:$B$131,$B199,'11.2. Нови активи отч.год.'!P$111:P$131)</f>
        <v>0</v>
      </c>
      <c r="Q199" s="899">
        <f>P199+SUMIF('11.2. Нови активи отч.год.'!$B$111:$B$131,$B199,'11.2. Нови активи отч.год.'!Q$111:Q$131)</f>
        <v>0</v>
      </c>
      <c r="R199" s="900">
        <f>Q199+SUMIF('11.2. Нови активи отч.год.'!$B$111:$B$131,$B199,'11.2. Нови активи отч.год.'!R$111:R$131)</f>
        <v>0</v>
      </c>
      <c r="S199" s="2169"/>
      <c r="T199" s="898">
        <f>S199+SUMIF('11.2. Нови активи отч.год.'!$B$111:$B$131,$B199,'11.2. Нови активи отч.год.'!T$111:T$131)</f>
        <v>0</v>
      </c>
      <c r="U199" s="899">
        <f>T199+SUMIF('11.2. Нови активи отч.год.'!$B$111:$B$131,$B199,'11.2. Нови активи отч.год.'!U$111:U$131)</f>
        <v>0</v>
      </c>
      <c r="V199" s="899">
        <f>U199+SUMIF('11.2. Нови активи отч.год.'!$B$111:$B$131,$B199,'11.2. Нови активи отч.год.'!V$111:V$131)</f>
        <v>0</v>
      </c>
      <c r="W199" s="899">
        <f>V199+SUMIF('11.2. Нови активи отч.год.'!$B$111:$B$131,$B199,'11.2. Нови активи отч.год.'!W$111:W$131)</f>
        <v>0</v>
      </c>
      <c r="X199" s="899">
        <f>W199+SUMIF('11.2. Нови активи отч.год.'!$B$111:$B$131,$B199,'11.2. Нови активи отч.год.'!X$111:X$131)</f>
        <v>0</v>
      </c>
      <c r="Y199" s="900">
        <f>X199+SUMIF('11.2. Нови активи отч.год.'!$B$111:$B$131,$B199,'11.2. Нови активи отч.год.'!Y$111:Y$131)</f>
        <v>0</v>
      </c>
      <c r="Z199" s="1592"/>
      <c r="AA199" s="1623"/>
      <c r="AB199" s="1647"/>
    </row>
    <row r="200" spans="1:28" s="1563" customFormat="1">
      <c r="A200" s="1650">
        <v>9</v>
      </c>
      <c r="B200" s="1595">
        <v>911306</v>
      </c>
      <c r="C200" s="1596">
        <v>0.1</v>
      </c>
      <c r="D200" s="1546" t="s">
        <v>1471</v>
      </c>
      <c r="E200" s="2169">
        <v>221</v>
      </c>
      <c r="F200" s="898">
        <f>E200+SUMIF('11.2. Нови активи отч.год.'!$B$111:$B$131,$B200,'11.2. Нови активи отч.год.'!F$111:F$131)</f>
        <v>221</v>
      </c>
      <c r="G200" s="899">
        <f>F200+SUMIF('11.2. Нови активи отч.год.'!$B$111:$B$131,$B200,'11.2. Нови активи отч.год.'!G$111:G$131)</f>
        <v>221</v>
      </c>
      <c r="H200" s="899">
        <f>G200+SUMIF('11.2. Нови активи отч.год.'!$B$111:$B$131,$B200,'11.2. Нови активи отч.год.'!H$111:H$131)</f>
        <v>221</v>
      </c>
      <c r="I200" s="899">
        <f>H200+SUMIF('11.2. Нови активи отч.год.'!$B$111:$B$131,$B200,'11.2. Нови активи отч.год.'!I$111:I$131)</f>
        <v>221</v>
      </c>
      <c r="J200" s="899">
        <f>I200+SUMIF('11.2. Нови активи отч.год.'!$B$111:$B$131,$B200,'11.2. Нови активи отч.год.'!J$111:J$131)</f>
        <v>221</v>
      </c>
      <c r="K200" s="900">
        <f>J200+SUMIF('11.2. Нови активи отч.год.'!$B$111:$B$131,$B200,'11.2. Нови активи отч.год.'!K$111:K$131)</f>
        <v>221</v>
      </c>
      <c r="L200" s="2169"/>
      <c r="M200" s="898">
        <f>L200+SUMIF('11.2. Нови активи отч.год.'!$B$111:$B$131,$B200,'11.2. Нови активи отч.год.'!M$111:M$131)</f>
        <v>0</v>
      </c>
      <c r="N200" s="899">
        <f>M200+SUMIF('11.2. Нови активи отч.год.'!$B$111:$B$131,$B200,'11.2. Нови активи отч.год.'!N$111:N$131)</f>
        <v>0</v>
      </c>
      <c r="O200" s="899">
        <f>N200+SUMIF('11.2. Нови активи отч.год.'!$B$111:$B$131,$B200,'11.2. Нови активи отч.год.'!O$111:O$131)</f>
        <v>0</v>
      </c>
      <c r="P200" s="899">
        <f>O200+SUMIF('11.2. Нови активи отч.год.'!$B$111:$B$131,$B200,'11.2. Нови активи отч.год.'!P$111:P$131)</f>
        <v>0</v>
      </c>
      <c r="Q200" s="899">
        <f>P200+SUMIF('11.2. Нови активи отч.год.'!$B$111:$B$131,$B200,'11.2. Нови активи отч.год.'!Q$111:Q$131)</f>
        <v>0</v>
      </c>
      <c r="R200" s="900">
        <f>Q200+SUMIF('11.2. Нови активи отч.год.'!$B$111:$B$131,$B200,'11.2. Нови активи отч.год.'!R$111:R$131)</f>
        <v>0</v>
      </c>
      <c r="S200" s="2169"/>
      <c r="T200" s="898">
        <f>S200+SUMIF('11.2. Нови активи отч.год.'!$B$111:$B$131,$B200,'11.2. Нови активи отч.год.'!T$111:T$131)</f>
        <v>0</v>
      </c>
      <c r="U200" s="899">
        <f>T200+SUMIF('11.2. Нови активи отч.год.'!$B$111:$B$131,$B200,'11.2. Нови активи отч.год.'!U$111:U$131)</f>
        <v>0</v>
      </c>
      <c r="V200" s="899">
        <f>U200+SUMIF('11.2. Нови активи отч.год.'!$B$111:$B$131,$B200,'11.2. Нови активи отч.год.'!V$111:V$131)</f>
        <v>0</v>
      </c>
      <c r="W200" s="899">
        <f>V200+SUMIF('11.2. Нови активи отч.год.'!$B$111:$B$131,$B200,'11.2. Нови активи отч.год.'!W$111:W$131)</f>
        <v>0</v>
      </c>
      <c r="X200" s="899">
        <f>W200+SUMIF('11.2. Нови активи отч.год.'!$B$111:$B$131,$B200,'11.2. Нови активи отч.год.'!X$111:X$131)</f>
        <v>0</v>
      </c>
      <c r="Y200" s="900">
        <f>X200+SUMIF('11.2. Нови активи отч.год.'!$B$111:$B$131,$B200,'11.2. Нови активи отч.год.'!Y$111:Y$131)</f>
        <v>0</v>
      </c>
      <c r="Z200" s="1592"/>
      <c r="AA200" s="1623"/>
      <c r="AB200" s="1647"/>
    </row>
    <row r="201" spans="1:28" s="1563" customFormat="1">
      <c r="A201" s="1650">
        <v>10</v>
      </c>
      <c r="B201" s="1595">
        <v>91140101</v>
      </c>
      <c r="C201" s="1649">
        <v>0.1</v>
      </c>
      <c r="D201" s="1558" t="s">
        <v>1442</v>
      </c>
      <c r="E201" s="2169"/>
      <c r="F201" s="898">
        <f>E201+SUMIF('11.2. Нови активи отч.год.'!$B$111:$B$131,$B201,'11.2. Нови активи отч.год.'!F$111:F$131)</f>
        <v>0</v>
      </c>
      <c r="G201" s="899">
        <f>F201+SUMIF('11.2. Нови активи отч.год.'!$B$111:$B$131,$B201,'11.2. Нови активи отч.год.'!G$111:G$131)</f>
        <v>0</v>
      </c>
      <c r="H201" s="899">
        <f>G201+SUMIF('11.2. Нови активи отч.год.'!$B$111:$B$131,$B201,'11.2. Нови активи отч.год.'!H$111:H$131)</f>
        <v>0</v>
      </c>
      <c r="I201" s="899">
        <f>H201+SUMIF('11.2. Нови активи отч.год.'!$B$111:$B$131,$B201,'11.2. Нови активи отч.год.'!I$111:I$131)</f>
        <v>0</v>
      </c>
      <c r="J201" s="899">
        <f>I201+SUMIF('11.2. Нови активи отч.год.'!$B$111:$B$131,$B201,'11.2. Нови активи отч.год.'!J$111:J$131)</f>
        <v>0</v>
      </c>
      <c r="K201" s="900">
        <f>J201+SUMIF('11.2. Нови активи отч.год.'!$B$111:$B$131,$B201,'11.2. Нови активи отч.год.'!K$111:K$131)</f>
        <v>0</v>
      </c>
      <c r="L201" s="2169"/>
      <c r="M201" s="898">
        <f>L201+SUMIF('11.2. Нови активи отч.год.'!$B$111:$B$131,$B201,'11.2. Нови активи отч.год.'!M$111:M$131)</f>
        <v>0</v>
      </c>
      <c r="N201" s="899">
        <f>M201+SUMIF('11.2. Нови активи отч.год.'!$B$111:$B$131,$B201,'11.2. Нови активи отч.год.'!N$111:N$131)</f>
        <v>0</v>
      </c>
      <c r="O201" s="899">
        <f>N201+SUMIF('11.2. Нови активи отч.год.'!$B$111:$B$131,$B201,'11.2. Нови активи отч.год.'!O$111:O$131)</f>
        <v>0</v>
      </c>
      <c r="P201" s="899">
        <f>O201+SUMIF('11.2. Нови активи отч.год.'!$B$111:$B$131,$B201,'11.2. Нови активи отч.год.'!P$111:P$131)</f>
        <v>0</v>
      </c>
      <c r="Q201" s="899">
        <f>P201+SUMIF('11.2. Нови активи отч.год.'!$B$111:$B$131,$B201,'11.2. Нови активи отч.год.'!Q$111:Q$131)</f>
        <v>0</v>
      </c>
      <c r="R201" s="900">
        <f>Q201+SUMIF('11.2. Нови активи отч.год.'!$B$111:$B$131,$B201,'11.2. Нови активи отч.год.'!R$111:R$131)</f>
        <v>0</v>
      </c>
      <c r="S201" s="2169"/>
      <c r="T201" s="898">
        <f>S201+SUMIF('11.2. Нови активи отч.год.'!$B$111:$B$131,$B201,'11.2. Нови активи отч.год.'!T$111:T$131)</f>
        <v>0</v>
      </c>
      <c r="U201" s="899">
        <f>T201+SUMIF('11.2. Нови активи отч.год.'!$B$111:$B$131,$B201,'11.2. Нови активи отч.год.'!U$111:U$131)</f>
        <v>0</v>
      </c>
      <c r="V201" s="899">
        <f>U201+SUMIF('11.2. Нови активи отч.год.'!$B$111:$B$131,$B201,'11.2. Нови активи отч.год.'!V$111:V$131)</f>
        <v>0</v>
      </c>
      <c r="W201" s="899">
        <f>V201+SUMIF('11.2. Нови активи отч.год.'!$B$111:$B$131,$B201,'11.2. Нови активи отч.год.'!W$111:W$131)</f>
        <v>0</v>
      </c>
      <c r="X201" s="899">
        <f>W201+SUMIF('11.2. Нови активи отч.год.'!$B$111:$B$131,$B201,'11.2. Нови активи отч.год.'!X$111:X$131)</f>
        <v>0</v>
      </c>
      <c r="Y201" s="900">
        <f>X201+SUMIF('11.2. Нови активи отч.год.'!$B$111:$B$131,$B201,'11.2. Нови активи отч.год.'!Y$111:Y$131)</f>
        <v>0</v>
      </c>
      <c r="Z201" s="1592"/>
      <c r="AA201" s="1623"/>
      <c r="AB201" s="1647"/>
    </row>
    <row r="202" spans="1:28" s="1563" customFormat="1">
      <c r="A202" s="1650">
        <v>11</v>
      </c>
      <c r="B202" s="1595">
        <v>91140102</v>
      </c>
      <c r="C202" s="1649">
        <v>0.04</v>
      </c>
      <c r="D202" s="1558" t="s">
        <v>604</v>
      </c>
      <c r="E202" s="2169"/>
      <c r="F202" s="898">
        <f>E202+SUMIF('11.2. Нови активи отч.год.'!$B$111:$B$131,$B202,'11.2. Нови активи отч.год.'!F$111:F$131)</f>
        <v>0</v>
      </c>
      <c r="G202" s="899">
        <f>F202+SUMIF('11.2. Нови активи отч.год.'!$B$111:$B$131,$B202,'11.2. Нови активи отч.год.'!G$111:G$131)</f>
        <v>0</v>
      </c>
      <c r="H202" s="899">
        <f>G202+SUMIF('11.2. Нови активи отч.год.'!$B$111:$B$131,$B202,'11.2. Нови активи отч.год.'!H$111:H$131)</f>
        <v>0</v>
      </c>
      <c r="I202" s="899">
        <f>H202+SUMIF('11.2. Нови активи отч.год.'!$B$111:$B$131,$B202,'11.2. Нови активи отч.год.'!I$111:I$131)</f>
        <v>0</v>
      </c>
      <c r="J202" s="899">
        <f>I202+SUMIF('11.2. Нови активи отч.год.'!$B$111:$B$131,$B202,'11.2. Нови активи отч.год.'!J$111:J$131)</f>
        <v>0</v>
      </c>
      <c r="K202" s="900">
        <f>J202+SUMIF('11.2. Нови активи отч.год.'!$B$111:$B$131,$B202,'11.2. Нови активи отч.год.'!K$111:K$131)</f>
        <v>0</v>
      </c>
      <c r="L202" s="2169"/>
      <c r="M202" s="898">
        <f>L202+SUMIF('11.2. Нови активи отч.год.'!$B$111:$B$131,$B202,'11.2. Нови активи отч.год.'!M$111:M$131)</f>
        <v>0</v>
      </c>
      <c r="N202" s="899">
        <f>M202+SUMIF('11.2. Нови активи отч.год.'!$B$111:$B$131,$B202,'11.2. Нови активи отч.год.'!N$111:N$131)</f>
        <v>0</v>
      </c>
      <c r="O202" s="899">
        <f>N202+SUMIF('11.2. Нови активи отч.год.'!$B$111:$B$131,$B202,'11.2. Нови активи отч.год.'!O$111:O$131)</f>
        <v>0</v>
      </c>
      <c r="P202" s="899">
        <f>O202+SUMIF('11.2. Нови активи отч.год.'!$B$111:$B$131,$B202,'11.2. Нови активи отч.год.'!P$111:P$131)</f>
        <v>0</v>
      </c>
      <c r="Q202" s="899">
        <f>P202+SUMIF('11.2. Нови активи отч.год.'!$B$111:$B$131,$B202,'11.2. Нови активи отч.год.'!Q$111:Q$131)</f>
        <v>0</v>
      </c>
      <c r="R202" s="900">
        <f>Q202+SUMIF('11.2. Нови активи отч.год.'!$B$111:$B$131,$B202,'11.2. Нови активи отч.год.'!R$111:R$131)</f>
        <v>0</v>
      </c>
      <c r="S202" s="2169"/>
      <c r="T202" s="898">
        <f>S202+SUMIF('11.2. Нови активи отч.год.'!$B$111:$B$131,$B202,'11.2. Нови активи отч.год.'!T$111:T$131)</f>
        <v>0</v>
      </c>
      <c r="U202" s="899">
        <f>T202+SUMIF('11.2. Нови активи отч.год.'!$B$111:$B$131,$B202,'11.2. Нови активи отч.год.'!U$111:U$131)</f>
        <v>0</v>
      </c>
      <c r="V202" s="899">
        <f>U202+SUMIF('11.2. Нови активи отч.год.'!$B$111:$B$131,$B202,'11.2. Нови активи отч.год.'!V$111:V$131)</f>
        <v>0</v>
      </c>
      <c r="W202" s="899">
        <f>V202+SUMIF('11.2. Нови активи отч.год.'!$B$111:$B$131,$B202,'11.2. Нови активи отч.год.'!W$111:W$131)</f>
        <v>0</v>
      </c>
      <c r="X202" s="899">
        <f>W202+SUMIF('11.2. Нови активи отч.год.'!$B$111:$B$131,$B202,'11.2. Нови активи отч.год.'!X$111:X$131)</f>
        <v>0</v>
      </c>
      <c r="Y202" s="900">
        <f>X202+SUMIF('11.2. Нови активи отч.год.'!$B$111:$B$131,$B202,'11.2. Нови активи отч.год.'!Y$111:Y$131)</f>
        <v>0</v>
      </c>
      <c r="Z202" s="1592"/>
      <c r="AA202" s="1623"/>
      <c r="AB202" s="1647"/>
    </row>
    <row r="203" spans="1:28" s="1563" customFormat="1">
      <c r="A203" s="1650">
        <v>12</v>
      </c>
      <c r="B203" s="1595" t="s">
        <v>951</v>
      </c>
      <c r="C203" s="1596">
        <v>0.02</v>
      </c>
      <c r="D203" s="1544" t="s">
        <v>1007</v>
      </c>
      <c r="E203" s="2169"/>
      <c r="F203" s="898">
        <f>E203+SUMIF('11.2. Нови активи отч.год.'!$B$111:$B$131,$B203,'11.2. Нови активи отч.год.'!F$111:F$131)</f>
        <v>0</v>
      </c>
      <c r="G203" s="899">
        <f>F203+SUMIF('11.2. Нови активи отч.год.'!$B$111:$B$131,$B203,'11.2. Нови активи отч.год.'!G$111:G$131)</f>
        <v>0</v>
      </c>
      <c r="H203" s="899">
        <f>G203+SUMIF('11.2. Нови активи отч.год.'!$B$111:$B$131,$B203,'11.2. Нови активи отч.год.'!H$111:H$131)</f>
        <v>0</v>
      </c>
      <c r="I203" s="899">
        <f>H203+SUMIF('11.2. Нови активи отч.год.'!$B$111:$B$131,$B203,'11.2. Нови активи отч.год.'!I$111:I$131)</f>
        <v>0</v>
      </c>
      <c r="J203" s="899">
        <f>I203+SUMIF('11.2. Нови активи отч.год.'!$B$111:$B$131,$B203,'11.2. Нови активи отч.год.'!J$111:J$131)</f>
        <v>0</v>
      </c>
      <c r="K203" s="900">
        <f>J203+SUMIF('11.2. Нови активи отч.год.'!$B$111:$B$131,$B203,'11.2. Нови активи отч.год.'!K$111:K$131)</f>
        <v>0</v>
      </c>
      <c r="L203" s="2169"/>
      <c r="M203" s="898">
        <f>L203+SUMIF('11.2. Нови активи отч.год.'!$B$111:$B$131,$B203,'11.2. Нови активи отч.год.'!M$111:M$131)</f>
        <v>0</v>
      </c>
      <c r="N203" s="899">
        <f>M203+SUMIF('11.2. Нови активи отч.год.'!$B$111:$B$131,$B203,'11.2. Нови активи отч.год.'!N$111:N$131)</f>
        <v>0</v>
      </c>
      <c r="O203" s="899">
        <f>N203+SUMIF('11.2. Нови активи отч.год.'!$B$111:$B$131,$B203,'11.2. Нови активи отч.год.'!O$111:O$131)</f>
        <v>0</v>
      </c>
      <c r="P203" s="899">
        <f>O203+SUMIF('11.2. Нови активи отч.год.'!$B$111:$B$131,$B203,'11.2. Нови активи отч.год.'!P$111:P$131)</f>
        <v>0</v>
      </c>
      <c r="Q203" s="899">
        <f>P203+SUMIF('11.2. Нови активи отч.год.'!$B$111:$B$131,$B203,'11.2. Нови активи отч.год.'!Q$111:Q$131)</f>
        <v>0</v>
      </c>
      <c r="R203" s="900">
        <f>Q203+SUMIF('11.2. Нови активи отч.год.'!$B$111:$B$131,$B203,'11.2. Нови активи отч.год.'!R$111:R$131)</f>
        <v>0</v>
      </c>
      <c r="S203" s="2169"/>
      <c r="T203" s="898">
        <f>S203+SUMIF('11.2. Нови активи отч.год.'!$B$111:$B$131,$B203,'11.2. Нови активи отч.год.'!T$111:T$131)</f>
        <v>0</v>
      </c>
      <c r="U203" s="899">
        <f>T203+SUMIF('11.2. Нови активи отч.год.'!$B$111:$B$131,$B203,'11.2. Нови активи отч.год.'!U$111:U$131)</f>
        <v>0</v>
      </c>
      <c r="V203" s="899">
        <f>U203+SUMIF('11.2. Нови активи отч.год.'!$B$111:$B$131,$B203,'11.2. Нови активи отч.год.'!V$111:V$131)</f>
        <v>0</v>
      </c>
      <c r="W203" s="899">
        <f>V203+SUMIF('11.2. Нови активи отч.год.'!$B$111:$B$131,$B203,'11.2. Нови активи отч.год.'!W$111:W$131)</f>
        <v>0</v>
      </c>
      <c r="X203" s="899">
        <f>W203+SUMIF('11.2. Нови активи отч.год.'!$B$111:$B$131,$B203,'11.2. Нови активи отч.год.'!X$111:X$131)</f>
        <v>0</v>
      </c>
      <c r="Y203" s="900">
        <f>X203+SUMIF('11.2. Нови активи отч.год.'!$B$111:$B$131,$B203,'11.2. Нови активи отч.год.'!Y$111:Y$131)</f>
        <v>0</v>
      </c>
      <c r="Z203" s="1592"/>
      <c r="AA203" s="1623"/>
      <c r="AB203" s="1647"/>
    </row>
    <row r="204" spans="1:28" s="1563" customFormat="1">
      <c r="A204" s="1650">
        <v>13</v>
      </c>
      <c r="B204" s="1595" t="s">
        <v>952</v>
      </c>
      <c r="C204" s="1596">
        <v>0.02</v>
      </c>
      <c r="D204" s="1544" t="s">
        <v>1008</v>
      </c>
      <c r="E204" s="2169">
        <v>4864</v>
      </c>
      <c r="F204" s="898">
        <f>E204+SUMIF('11.2. Нови активи отч.год.'!$B$111:$B$131,$B204,'11.2. Нови активи отч.год.'!F$111:F$131)</f>
        <v>4864</v>
      </c>
      <c r="G204" s="899">
        <f>F204+SUMIF('11.2. Нови активи отч.год.'!$B$111:$B$131,$B204,'11.2. Нови активи отч.год.'!G$111:G$131)</f>
        <v>4864</v>
      </c>
      <c r="H204" s="899">
        <f>G204+SUMIF('11.2. Нови активи отч.год.'!$B$111:$B$131,$B204,'11.2. Нови активи отч.год.'!H$111:H$131)</f>
        <v>4864</v>
      </c>
      <c r="I204" s="899">
        <f>H204+SUMIF('11.2. Нови активи отч.год.'!$B$111:$B$131,$B204,'11.2. Нови активи отч.год.'!I$111:I$131)</f>
        <v>4864</v>
      </c>
      <c r="J204" s="899">
        <f>I204+SUMIF('11.2. Нови активи отч.год.'!$B$111:$B$131,$B204,'11.2. Нови активи отч.год.'!J$111:J$131)</f>
        <v>4864</v>
      </c>
      <c r="K204" s="900">
        <f>J204+SUMIF('11.2. Нови активи отч.год.'!$B$111:$B$131,$B204,'11.2. Нови активи отч.год.'!K$111:K$131)</f>
        <v>4864</v>
      </c>
      <c r="L204" s="2169"/>
      <c r="M204" s="898">
        <f>L204+SUMIF('11.2. Нови активи отч.год.'!$B$111:$B$131,$B204,'11.2. Нови активи отч.год.'!M$111:M$131)</f>
        <v>0</v>
      </c>
      <c r="N204" s="899">
        <f>M204+SUMIF('11.2. Нови активи отч.год.'!$B$111:$B$131,$B204,'11.2. Нови активи отч.год.'!N$111:N$131)</f>
        <v>0</v>
      </c>
      <c r="O204" s="899">
        <f>N204+SUMIF('11.2. Нови активи отч.год.'!$B$111:$B$131,$B204,'11.2. Нови активи отч.год.'!O$111:O$131)</f>
        <v>0</v>
      </c>
      <c r="P204" s="899">
        <f>O204+SUMIF('11.2. Нови активи отч.год.'!$B$111:$B$131,$B204,'11.2. Нови активи отч.год.'!P$111:P$131)</f>
        <v>0</v>
      </c>
      <c r="Q204" s="899">
        <f>P204+SUMIF('11.2. Нови активи отч.год.'!$B$111:$B$131,$B204,'11.2. Нови активи отч.год.'!Q$111:Q$131)</f>
        <v>0</v>
      </c>
      <c r="R204" s="900">
        <f>Q204+SUMIF('11.2. Нови активи отч.год.'!$B$111:$B$131,$B204,'11.2. Нови активи отч.год.'!R$111:R$131)</f>
        <v>0</v>
      </c>
      <c r="S204" s="2169"/>
      <c r="T204" s="898">
        <f>S204+SUMIF('11.2. Нови активи отч.год.'!$B$111:$B$131,$B204,'11.2. Нови активи отч.год.'!T$111:T$131)</f>
        <v>0</v>
      </c>
      <c r="U204" s="899">
        <f>T204+SUMIF('11.2. Нови активи отч.год.'!$B$111:$B$131,$B204,'11.2. Нови активи отч.год.'!U$111:U$131)</f>
        <v>0</v>
      </c>
      <c r="V204" s="899">
        <f>U204+SUMIF('11.2. Нови активи отч.год.'!$B$111:$B$131,$B204,'11.2. Нови активи отч.год.'!V$111:V$131)</f>
        <v>0</v>
      </c>
      <c r="W204" s="899">
        <f>V204+SUMIF('11.2. Нови активи отч.год.'!$B$111:$B$131,$B204,'11.2. Нови активи отч.год.'!W$111:W$131)</f>
        <v>0</v>
      </c>
      <c r="X204" s="899">
        <f>W204+SUMIF('11.2. Нови активи отч.год.'!$B$111:$B$131,$B204,'11.2. Нови активи отч.год.'!X$111:X$131)</f>
        <v>0</v>
      </c>
      <c r="Y204" s="900">
        <f>X204+SUMIF('11.2. Нови активи отч.год.'!$B$111:$B$131,$B204,'11.2. Нови активи отч.год.'!Y$111:Y$131)</f>
        <v>0</v>
      </c>
      <c r="Z204" s="1592"/>
      <c r="AA204" s="1623"/>
      <c r="AB204" s="1647"/>
    </row>
    <row r="205" spans="1:28" s="1563" customFormat="1">
      <c r="A205" s="1650">
        <v>14</v>
      </c>
      <c r="B205" s="1595" t="s">
        <v>953</v>
      </c>
      <c r="C205" s="1596">
        <v>0.02</v>
      </c>
      <c r="D205" s="1544" t="s">
        <v>590</v>
      </c>
      <c r="E205" s="2169">
        <v>69</v>
      </c>
      <c r="F205" s="898">
        <f>E205+SUMIF('11.2. Нови активи отч.год.'!$B$111:$B$131,$B205,'11.2. Нови активи отч.год.'!F$111:F$131)</f>
        <v>69</v>
      </c>
      <c r="G205" s="899">
        <f>F205+SUMIF('11.2. Нови активи отч.год.'!$B$111:$B$131,$B205,'11.2. Нови активи отч.год.'!G$111:G$131)</f>
        <v>69</v>
      </c>
      <c r="H205" s="899">
        <f>G205+SUMIF('11.2. Нови активи отч.год.'!$B$111:$B$131,$B205,'11.2. Нови активи отч.год.'!H$111:H$131)</f>
        <v>69</v>
      </c>
      <c r="I205" s="899">
        <f>H205+SUMIF('11.2. Нови активи отч.год.'!$B$111:$B$131,$B205,'11.2. Нови активи отч.год.'!I$111:I$131)</f>
        <v>69</v>
      </c>
      <c r="J205" s="899">
        <f>I205+SUMIF('11.2. Нови активи отч.год.'!$B$111:$B$131,$B205,'11.2. Нови активи отч.год.'!J$111:J$131)</f>
        <v>69</v>
      </c>
      <c r="K205" s="900">
        <f>J205+SUMIF('11.2. Нови активи отч.год.'!$B$111:$B$131,$B205,'11.2. Нови активи отч.год.'!K$111:K$131)</f>
        <v>69</v>
      </c>
      <c r="L205" s="2169"/>
      <c r="M205" s="898">
        <f>L205+SUMIF('11.2. Нови активи отч.год.'!$B$111:$B$131,$B205,'11.2. Нови активи отч.год.'!M$111:M$131)</f>
        <v>0</v>
      </c>
      <c r="N205" s="899">
        <f>M205+SUMIF('11.2. Нови активи отч.год.'!$B$111:$B$131,$B205,'11.2. Нови активи отч.год.'!N$111:N$131)</f>
        <v>0</v>
      </c>
      <c r="O205" s="899">
        <f>N205+SUMIF('11.2. Нови активи отч.год.'!$B$111:$B$131,$B205,'11.2. Нови активи отч.год.'!O$111:O$131)</f>
        <v>0</v>
      </c>
      <c r="P205" s="899">
        <f>O205+SUMIF('11.2. Нови активи отч.год.'!$B$111:$B$131,$B205,'11.2. Нови активи отч.год.'!P$111:P$131)</f>
        <v>0</v>
      </c>
      <c r="Q205" s="899">
        <f>P205+SUMIF('11.2. Нови активи отч.год.'!$B$111:$B$131,$B205,'11.2. Нови активи отч.год.'!Q$111:Q$131)</f>
        <v>0</v>
      </c>
      <c r="R205" s="900">
        <f>Q205+SUMIF('11.2. Нови активи отч.год.'!$B$111:$B$131,$B205,'11.2. Нови активи отч.год.'!R$111:R$131)</f>
        <v>0</v>
      </c>
      <c r="S205" s="2169"/>
      <c r="T205" s="898">
        <f>S205+SUMIF('11.2. Нови активи отч.год.'!$B$111:$B$131,$B205,'11.2. Нови активи отч.год.'!T$111:T$131)</f>
        <v>0</v>
      </c>
      <c r="U205" s="899">
        <f>T205+SUMIF('11.2. Нови активи отч.год.'!$B$111:$B$131,$B205,'11.2. Нови активи отч.год.'!U$111:U$131)</f>
        <v>0</v>
      </c>
      <c r="V205" s="899">
        <f>U205+SUMIF('11.2. Нови активи отч.год.'!$B$111:$B$131,$B205,'11.2. Нови активи отч.год.'!V$111:V$131)</f>
        <v>0</v>
      </c>
      <c r="W205" s="899">
        <f>V205+SUMIF('11.2. Нови активи отч.год.'!$B$111:$B$131,$B205,'11.2. Нови активи отч.год.'!W$111:W$131)</f>
        <v>0</v>
      </c>
      <c r="X205" s="899">
        <f>W205+SUMIF('11.2. Нови активи отч.год.'!$B$111:$B$131,$B205,'11.2. Нови активи отч.год.'!X$111:X$131)</f>
        <v>0</v>
      </c>
      <c r="Y205" s="900">
        <f>X205+SUMIF('11.2. Нови активи отч.год.'!$B$111:$B$131,$B205,'11.2. Нови активи отч.год.'!Y$111:Y$131)</f>
        <v>0</v>
      </c>
      <c r="Z205" s="1592"/>
      <c r="AA205" s="1623"/>
      <c r="AB205" s="1647"/>
    </row>
    <row r="206" spans="1:28" s="1563" customFormat="1">
      <c r="A206" s="1650">
        <v>15</v>
      </c>
      <c r="B206" s="1595" t="s">
        <v>954</v>
      </c>
      <c r="C206" s="1596">
        <v>0.02</v>
      </c>
      <c r="D206" s="1558" t="s">
        <v>591</v>
      </c>
      <c r="E206" s="2169"/>
      <c r="F206" s="898">
        <f>E206+SUMIF('11.2. Нови активи отч.год.'!$B$111:$B$131,$B206,'11.2. Нови активи отч.год.'!F$111:F$131)</f>
        <v>0</v>
      </c>
      <c r="G206" s="899">
        <f>F206+SUMIF('11.2. Нови активи отч.год.'!$B$111:$B$131,$B206,'11.2. Нови активи отч.год.'!G$111:G$131)</f>
        <v>0</v>
      </c>
      <c r="H206" s="899">
        <f>G206+SUMIF('11.2. Нови активи отч.год.'!$B$111:$B$131,$B206,'11.2. Нови активи отч.год.'!H$111:H$131)</f>
        <v>0</v>
      </c>
      <c r="I206" s="899">
        <f>H206+SUMIF('11.2. Нови активи отч.год.'!$B$111:$B$131,$B206,'11.2. Нови активи отч.год.'!I$111:I$131)</f>
        <v>0</v>
      </c>
      <c r="J206" s="899">
        <f>I206+SUMIF('11.2. Нови активи отч.год.'!$B$111:$B$131,$B206,'11.2. Нови активи отч.год.'!J$111:J$131)</f>
        <v>0</v>
      </c>
      <c r="K206" s="900">
        <f>J206+SUMIF('11.2. Нови активи отч.год.'!$B$111:$B$131,$B206,'11.2. Нови активи отч.год.'!K$111:K$131)</f>
        <v>0</v>
      </c>
      <c r="L206" s="2169"/>
      <c r="M206" s="898">
        <f>L206+SUMIF('11.2. Нови активи отч.год.'!$B$111:$B$131,$B206,'11.2. Нови активи отч.год.'!M$111:M$131)</f>
        <v>0</v>
      </c>
      <c r="N206" s="899">
        <f>M206+SUMIF('11.2. Нови активи отч.год.'!$B$111:$B$131,$B206,'11.2. Нови активи отч.год.'!N$111:N$131)</f>
        <v>0</v>
      </c>
      <c r="O206" s="899">
        <f>N206+SUMIF('11.2. Нови активи отч.год.'!$B$111:$B$131,$B206,'11.2. Нови активи отч.год.'!O$111:O$131)</f>
        <v>0</v>
      </c>
      <c r="P206" s="899">
        <f>O206+SUMIF('11.2. Нови активи отч.год.'!$B$111:$B$131,$B206,'11.2. Нови активи отч.год.'!P$111:P$131)</f>
        <v>0</v>
      </c>
      <c r="Q206" s="899">
        <f>P206+SUMIF('11.2. Нови активи отч.год.'!$B$111:$B$131,$B206,'11.2. Нови активи отч.год.'!Q$111:Q$131)</f>
        <v>0</v>
      </c>
      <c r="R206" s="900">
        <f>Q206+SUMIF('11.2. Нови активи отч.год.'!$B$111:$B$131,$B206,'11.2. Нови активи отч.год.'!R$111:R$131)</f>
        <v>0</v>
      </c>
      <c r="S206" s="2169"/>
      <c r="T206" s="898">
        <f>S206+SUMIF('11.2. Нови активи отч.год.'!$B$111:$B$131,$B206,'11.2. Нови активи отч.год.'!T$111:T$131)</f>
        <v>0</v>
      </c>
      <c r="U206" s="899">
        <f>T206+SUMIF('11.2. Нови активи отч.год.'!$B$111:$B$131,$B206,'11.2. Нови активи отч.год.'!U$111:U$131)</f>
        <v>0</v>
      </c>
      <c r="V206" s="899">
        <f>U206+SUMIF('11.2. Нови активи отч.год.'!$B$111:$B$131,$B206,'11.2. Нови активи отч.год.'!V$111:V$131)</f>
        <v>0</v>
      </c>
      <c r="W206" s="899">
        <f>V206+SUMIF('11.2. Нови активи отч.год.'!$B$111:$B$131,$B206,'11.2. Нови активи отч.год.'!W$111:W$131)</f>
        <v>0</v>
      </c>
      <c r="X206" s="899">
        <f>W206+SUMIF('11.2. Нови активи отч.год.'!$B$111:$B$131,$B206,'11.2. Нови активи отч.год.'!X$111:X$131)</f>
        <v>0</v>
      </c>
      <c r="Y206" s="900">
        <f>X206+SUMIF('11.2. Нови активи отч.год.'!$B$111:$B$131,$B206,'11.2. Нови активи отч.год.'!Y$111:Y$131)</f>
        <v>0</v>
      </c>
      <c r="Z206" s="1592"/>
      <c r="AA206" s="1623"/>
      <c r="AB206" s="1647"/>
    </row>
    <row r="207" spans="1:28" s="1563" customFormat="1">
      <c r="A207" s="1650">
        <v>16</v>
      </c>
      <c r="B207" s="1595" t="s">
        <v>955</v>
      </c>
      <c r="C207" s="1596">
        <v>0.02</v>
      </c>
      <c r="D207" s="1544" t="s">
        <v>592</v>
      </c>
      <c r="E207" s="2169">
        <v>64657</v>
      </c>
      <c r="F207" s="898">
        <f>E207+SUMIF('11.2. Нови активи отч.год.'!$B$111:$B$131,$B207,'11.2. Нови активи отч.год.'!F$111:F$131)</f>
        <v>64657</v>
      </c>
      <c r="G207" s="899">
        <f>F207+SUMIF('11.2. Нови активи отч.год.'!$B$111:$B$131,$B207,'11.2. Нови активи отч.год.'!G$111:G$131)</f>
        <v>68161</v>
      </c>
      <c r="H207" s="899">
        <f>G207+SUMIF('11.2. Нови активи отч.год.'!$B$111:$B$131,$B207,'11.2. Нови активи отч.год.'!H$111:H$131)</f>
        <v>75167</v>
      </c>
      <c r="I207" s="899">
        <f>H207+SUMIF('11.2. Нови активи отч.год.'!$B$111:$B$131,$B207,'11.2. Нови активи отч.год.'!I$111:I$131)</f>
        <v>86646</v>
      </c>
      <c r="J207" s="899">
        <f>I207+SUMIF('11.2. Нови активи отч.год.'!$B$111:$B$131,$B207,'11.2. Нови активи отч.год.'!J$111:J$131)</f>
        <v>95238</v>
      </c>
      <c r="K207" s="900">
        <f>J207+SUMIF('11.2. Нови активи отч.год.'!$B$111:$B$131,$B207,'11.2. Нови активи отч.год.'!K$111:K$131)</f>
        <v>95238</v>
      </c>
      <c r="L207" s="2169"/>
      <c r="M207" s="898">
        <f>L207+SUMIF('11.2. Нови активи отч.год.'!$B$111:$B$131,$B207,'11.2. Нови активи отч.год.'!M$111:M$131)</f>
        <v>0</v>
      </c>
      <c r="N207" s="899">
        <f>M207+SUMIF('11.2. Нови активи отч.год.'!$B$111:$B$131,$B207,'11.2. Нови активи отч.год.'!N$111:N$131)</f>
        <v>0</v>
      </c>
      <c r="O207" s="899">
        <f>N207+SUMIF('11.2. Нови активи отч.год.'!$B$111:$B$131,$B207,'11.2. Нови активи отч.год.'!O$111:O$131)</f>
        <v>0</v>
      </c>
      <c r="P207" s="899">
        <f>O207+SUMIF('11.2. Нови активи отч.год.'!$B$111:$B$131,$B207,'11.2. Нови активи отч.год.'!P$111:P$131)</f>
        <v>0</v>
      </c>
      <c r="Q207" s="899">
        <f>P207+SUMIF('11.2. Нови активи отч.год.'!$B$111:$B$131,$B207,'11.2. Нови активи отч.год.'!Q$111:Q$131)</f>
        <v>0</v>
      </c>
      <c r="R207" s="900">
        <f>Q207+SUMIF('11.2. Нови активи отч.год.'!$B$111:$B$131,$B207,'11.2. Нови активи отч.год.'!R$111:R$131)</f>
        <v>0</v>
      </c>
      <c r="S207" s="2169"/>
      <c r="T207" s="898">
        <f>S207+SUMIF('11.2. Нови активи отч.год.'!$B$111:$B$131,$B207,'11.2. Нови активи отч.год.'!T$111:T$131)</f>
        <v>0</v>
      </c>
      <c r="U207" s="899">
        <f>T207+SUMIF('11.2. Нови активи отч.год.'!$B$111:$B$131,$B207,'11.2. Нови активи отч.год.'!U$111:U$131)</f>
        <v>0</v>
      </c>
      <c r="V207" s="899">
        <f>U207+SUMIF('11.2. Нови активи отч.год.'!$B$111:$B$131,$B207,'11.2. Нови активи отч.год.'!V$111:V$131)</f>
        <v>0</v>
      </c>
      <c r="W207" s="899">
        <f>V207+SUMIF('11.2. Нови активи отч.год.'!$B$111:$B$131,$B207,'11.2. Нови активи отч.год.'!W$111:W$131)</f>
        <v>0</v>
      </c>
      <c r="X207" s="899">
        <f>W207+SUMIF('11.2. Нови активи отч.год.'!$B$111:$B$131,$B207,'11.2. Нови активи отч.год.'!X$111:X$131)</f>
        <v>0</v>
      </c>
      <c r="Y207" s="900">
        <f>X207+SUMIF('11.2. Нови активи отч.год.'!$B$111:$B$131,$B207,'11.2. Нови активи отч.год.'!Y$111:Y$131)</f>
        <v>0</v>
      </c>
      <c r="Z207" s="1592"/>
      <c r="AA207" s="1623"/>
      <c r="AB207" s="1647"/>
    </row>
    <row r="208" spans="1:28" s="1563" customFormat="1">
      <c r="A208" s="1650">
        <v>17</v>
      </c>
      <c r="B208" s="1595" t="s">
        <v>956</v>
      </c>
      <c r="C208" s="1596">
        <v>0.02</v>
      </c>
      <c r="D208" s="1546" t="s">
        <v>593</v>
      </c>
      <c r="E208" s="2169"/>
      <c r="F208" s="898">
        <f>E208+SUMIF('11.2. Нови активи отч.год.'!$B$111:$B$131,$B208,'11.2. Нови активи отч.год.'!F$111:F$131)</f>
        <v>0</v>
      </c>
      <c r="G208" s="899">
        <f>F208+SUMIF('11.2. Нови активи отч.год.'!$B$111:$B$131,$B208,'11.2. Нови активи отч.год.'!G$111:G$131)</f>
        <v>0</v>
      </c>
      <c r="H208" s="899">
        <f>G208+SUMIF('11.2. Нови активи отч.год.'!$B$111:$B$131,$B208,'11.2. Нови активи отч.год.'!H$111:H$131)</f>
        <v>0</v>
      </c>
      <c r="I208" s="899">
        <f>H208+SUMIF('11.2. Нови активи отч.год.'!$B$111:$B$131,$B208,'11.2. Нови активи отч.год.'!I$111:I$131)</f>
        <v>0</v>
      </c>
      <c r="J208" s="899">
        <f>I208+SUMIF('11.2. Нови активи отч.год.'!$B$111:$B$131,$B208,'11.2. Нови активи отч.год.'!J$111:J$131)</f>
        <v>0</v>
      </c>
      <c r="K208" s="900">
        <f>J208+SUMIF('11.2. Нови активи отч.год.'!$B$111:$B$131,$B208,'11.2. Нови активи отч.год.'!K$111:K$131)</f>
        <v>0</v>
      </c>
      <c r="L208" s="2169">
        <v>39024</v>
      </c>
      <c r="M208" s="898">
        <f>L208+SUMIF('11.2. Нови активи отч.год.'!$B$111:$B$131,$B208,'11.2. Нови активи отч.год.'!M$111:M$131)</f>
        <v>39024</v>
      </c>
      <c r="N208" s="899">
        <f>M208+SUMIF('11.2. Нови активи отч.год.'!$B$111:$B$131,$B208,'11.2. Нови активи отч.год.'!N$111:N$131)</f>
        <v>48329</v>
      </c>
      <c r="O208" s="899">
        <f>N208+SUMIF('11.2. Нови активи отч.год.'!$B$111:$B$131,$B208,'11.2. Нови активи отч.год.'!O$111:O$131)</f>
        <v>48329</v>
      </c>
      <c r="P208" s="899">
        <f>O208+SUMIF('11.2. Нови активи отч.год.'!$B$111:$B$131,$B208,'11.2. Нови активи отч.год.'!P$111:P$131)</f>
        <v>52450</v>
      </c>
      <c r="Q208" s="899">
        <f>P208+SUMIF('11.2. Нови активи отч.год.'!$B$111:$B$131,$B208,'11.2. Нови активи отч.год.'!Q$111:Q$131)</f>
        <v>101792</v>
      </c>
      <c r="R208" s="900">
        <f>Q208+SUMIF('11.2. Нови активи отч.год.'!$B$111:$B$131,$B208,'11.2. Нови активи отч.год.'!R$111:R$131)</f>
        <v>101792</v>
      </c>
      <c r="S208" s="2169"/>
      <c r="T208" s="898">
        <f>S208+SUMIF('11.2. Нови активи отч.год.'!$B$111:$B$131,$B208,'11.2. Нови активи отч.год.'!T$111:T$131)</f>
        <v>0</v>
      </c>
      <c r="U208" s="899">
        <f>T208+SUMIF('11.2. Нови активи отч.год.'!$B$111:$B$131,$B208,'11.2. Нови активи отч.год.'!U$111:U$131)</f>
        <v>0</v>
      </c>
      <c r="V208" s="899">
        <f>U208+SUMIF('11.2. Нови активи отч.год.'!$B$111:$B$131,$B208,'11.2. Нови активи отч.год.'!V$111:V$131)</f>
        <v>0</v>
      </c>
      <c r="W208" s="899">
        <f>V208+SUMIF('11.2. Нови активи отч.год.'!$B$111:$B$131,$B208,'11.2. Нови активи отч.год.'!W$111:W$131)</f>
        <v>0</v>
      </c>
      <c r="X208" s="899">
        <f>W208+SUMIF('11.2. Нови активи отч.год.'!$B$111:$B$131,$B208,'11.2. Нови активи отч.год.'!X$111:X$131)</f>
        <v>0</v>
      </c>
      <c r="Y208" s="900">
        <f>X208+SUMIF('11.2. Нови активи отч.год.'!$B$111:$B$131,$B208,'11.2. Нови активи отч.год.'!Y$111:Y$131)</f>
        <v>0</v>
      </c>
      <c r="Z208" s="1592"/>
      <c r="AA208" s="1623"/>
      <c r="AB208" s="1647"/>
    </row>
    <row r="209" spans="1:28" s="1563" customFormat="1" ht="24">
      <c r="A209" s="1650">
        <v>18</v>
      </c>
      <c r="B209" s="1595" t="s">
        <v>957</v>
      </c>
      <c r="C209" s="1596">
        <v>0.04</v>
      </c>
      <c r="D209" s="1546" t="s">
        <v>594</v>
      </c>
      <c r="E209" s="2169">
        <v>2871</v>
      </c>
      <c r="F209" s="898">
        <f>E209+SUMIF('11.2. Нови активи отч.год.'!$B$111:$B$131,$B209,'11.2. Нови активи отч.год.'!F$111:F$131)</f>
        <v>2871</v>
      </c>
      <c r="G209" s="899">
        <f>F209+SUMIF('11.2. Нови активи отч.год.'!$B$111:$B$131,$B209,'11.2. Нови активи отч.год.'!G$111:G$131)</f>
        <v>2871</v>
      </c>
      <c r="H209" s="899">
        <f>G209+SUMIF('11.2. Нови активи отч.год.'!$B$111:$B$131,$B209,'11.2. Нови активи отч.год.'!H$111:H$131)</f>
        <v>2871</v>
      </c>
      <c r="I209" s="899">
        <f>H209+SUMIF('11.2. Нови активи отч.год.'!$B$111:$B$131,$B209,'11.2. Нови активи отч.год.'!I$111:I$131)</f>
        <v>2871</v>
      </c>
      <c r="J209" s="899">
        <f>I209+SUMIF('11.2. Нови активи отч.год.'!$B$111:$B$131,$B209,'11.2. Нови активи отч.год.'!J$111:J$131)</f>
        <v>2871</v>
      </c>
      <c r="K209" s="900">
        <f>J209+SUMIF('11.2. Нови активи отч.год.'!$B$111:$B$131,$B209,'11.2. Нови активи отч.год.'!K$111:K$131)</f>
        <v>2871</v>
      </c>
      <c r="L209" s="2169"/>
      <c r="M209" s="898">
        <f>L209+SUMIF('11.2. Нови активи отч.год.'!$B$111:$B$131,$B209,'11.2. Нови активи отч.год.'!M$111:M$131)</f>
        <v>0</v>
      </c>
      <c r="N209" s="899">
        <f>M209+SUMIF('11.2. Нови активи отч.год.'!$B$111:$B$131,$B209,'11.2. Нови активи отч.год.'!N$111:N$131)</f>
        <v>0</v>
      </c>
      <c r="O209" s="899">
        <f>N209+SUMIF('11.2. Нови активи отч.год.'!$B$111:$B$131,$B209,'11.2. Нови активи отч.год.'!O$111:O$131)</f>
        <v>0</v>
      </c>
      <c r="P209" s="899">
        <f>O209+SUMIF('11.2. Нови активи отч.год.'!$B$111:$B$131,$B209,'11.2. Нови активи отч.год.'!P$111:P$131)</f>
        <v>0</v>
      </c>
      <c r="Q209" s="899">
        <f>P209+SUMIF('11.2. Нови активи отч.год.'!$B$111:$B$131,$B209,'11.2. Нови активи отч.год.'!Q$111:Q$131)</f>
        <v>0</v>
      </c>
      <c r="R209" s="900">
        <f>Q209+SUMIF('11.2. Нови активи отч.год.'!$B$111:$B$131,$B209,'11.2. Нови активи отч.год.'!R$111:R$131)</f>
        <v>0</v>
      </c>
      <c r="S209" s="2169">
        <v>17609</v>
      </c>
      <c r="T209" s="898">
        <f>S209+SUMIF('11.2. Нови активи отч.год.'!$B$111:$B$131,$B209,'11.2. Нови активи отч.год.'!T$111:T$131)</f>
        <v>17609</v>
      </c>
      <c r="U209" s="899">
        <f>T209+SUMIF('11.2. Нови активи отч.год.'!$B$111:$B$131,$B209,'11.2. Нови активи отч.год.'!U$111:U$131)</f>
        <v>20253</v>
      </c>
      <c r="V209" s="899">
        <f>U209+SUMIF('11.2. Нови активи отч.год.'!$B$111:$B$131,$B209,'11.2. Нови активи отч.год.'!V$111:V$131)</f>
        <v>35252</v>
      </c>
      <c r="W209" s="899">
        <f>V209+SUMIF('11.2. Нови активи отч.год.'!$B$111:$B$131,$B209,'11.2. Нови активи отч.год.'!W$111:W$131)</f>
        <v>47102</v>
      </c>
      <c r="X209" s="899">
        <f>W209+SUMIF('11.2. Нови активи отч.год.'!$B$111:$B$131,$B209,'11.2. Нови активи отч.год.'!X$111:X$131)</f>
        <v>49241</v>
      </c>
      <c r="Y209" s="900">
        <f>X209+SUMIF('11.2. Нови активи отч.год.'!$B$111:$B$131,$B209,'11.2. Нови активи отч.год.'!Y$111:Y$131)</f>
        <v>49241</v>
      </c>
      <c r="Z209" s="1592"/>
      <c r="AA209" s="1623"/>
      <c r="AB209" s="1647"/>
    </row>
    <row r="210" spans="1:28" s="1563" customFormat="1">
      <c r="A210" s="1650">
        <v>19</v>
      </c>
      <c r="B210" s="1595" t="s">
        <v>958</v>
      </c>
      <c r="C210" s="1596">
        <v>0.04</v>
      </c>
      <c r="D210" s="1546" t="s">
        <v>595</v>
      </c>
      <c r="E210" s="2169">
        <v>1109</v>
      </c>
      <c r="F210" s="898">
        <f>E210+SUMIF('11.2. Нови активи отч.год.'!$B$111:$B$131,$B210,'11.2. Нови активи отч.год.'!F$111:F$131)</f>
        <v>1109</v>
      </c>
      <c r="G210" s="899">
        <f>F210+SUMIF('11.2. Нови активи отч.год.'!$B$111:$B$131,$B210,'11.2. Нови активи отч.год.'!G$111:G$131)</f>
        <v>1109</v>
      </c>
      <c r="H210" s="899">
        <f>G210+SUMIF('11.2. Нови активи отч.год.'!$B$111:$B$131,$B210,'11.2. Нови активи отч.год.'!H$111:H$131)</f>
        <v>1109</v>
      </c>
      <c r="I210" s="899">
        <f>H210+SUMIF('11.2. Нови активи отч.год.'!$B$111:$B$131,$B210,'11.2. Нови активи отч.год.'!I$111:I$131)</f>
        <v>1109</v>
      </c>
      <c r="J210" s="899">
        <f>I210+SUMIF('11.2. Нови активи отч.год.'!$B$111:$B$131,$B210,'11.2. Нови активи отч.год.'!J$111:J$131)</f>
        <v>1109</v>
      </c>
      <c r="K210" s="900">
        <f>J210+SUMIF('11.2. Нови активи отч.год.'!$B$111:$B$131,$B210,'11.2. Нови активи отч.год.'!K$111:K$131)</f>
        <v>1109</v>
      </c>
      <c r="L210" s="2169"/>
      <c r="M210" s="898">
        <f>L210+SUMIF('11.2. Нови активи отч.год.'!$B$111:$B$131,$B210,'11.2. Нови активи отч.год.'!M$111:M$131)</f>
        <v>0</v>
      </c>
      <c r="N210" s="899">
        <f>M210+SUMIF('11.2. Нови активи отч.год.'!$B$111:$B$131,$B210,'11.2. Нови активи отч.год.'!N$111:N$131)</f>
        <v>0</v>
      </c>
      <c r="O210" s="899">
        <f>N210+SUMIF('11.2. Нови активи отч.год.'!$B$111:$B$131,$B210,'11.2. Нови активи отч.год.'!O$111:O$131)</f>
        <v>0</v>
      </c>
      <c r="P210" s="899">
        <f>O210+SUMIF('11.2. Нови активи отч.год.'!$B$111:$B$131,$B210,'11.2. Нови активи отч.год.'!P$111:P$131)</f>
        <v>0</v>
      </c>
      <c r="Q210" s="899">
        <f>P210+SUMIF('11.2. Нови активи отч.год.'!$B$111:$B$131,$B210,'11.2. Нови активи отч.год.'!Q$111:Q$131)</f>
        <v>0</v>
      </c>
      <c r="R210" s="900">
        <f>Q210+SUMIF('11.2. Нови активи отч.год.'!$B$111:$B$131,$B210,'11.2. Нови активи отч.год.'!R$111:R$131)</f>
        <v>0</v>
      </c>
      <c r="S210" s="2169"/>
      <c r="T210" s="898">
        <f>S210+SUMIF('11.2. Нови активи отч.год.'!$B$111:$B$131,$B210,'11.2. Нови активи отч.год.'!T$111:T$131)</f>
        <v>0</v>
      </c>
      <c r="U210" s="899">
        <f>T210+SUMIF('11.2. Нови активи отч.год.'!$B$111:$B$131,$B210,'11.2. Нови активи отч.год.'!U$111:U$131)</f>
        <v>0</v>
      </c>
      <c r="V210" s="899">
        <f>U210+SUMIF('11.2. Нови активи отч.год.'!$B$111:$B$131,$B210,'11.2. Нови активи отч.год.'!V$111:V$131)</f>
        <v>0</v>
      </c>
      <c r="W210" s="899">
        <f>V210+SUMIF('11.2. Нови активи отч.год.'!$B$111:$B$131,$B210,'11.2. Нови активи отч.год.'!W$111:W$131)</f>
        <v>0</v>
      </c>
      <c r="X210" s="899">
        <f>W210+SUMIF('11.2. Нови активи отч.год.'!$B$111:$B$131,$B210,'11.2. Нови активи отч.год.'!X$111:X$131)</f>
        <v>0</v>
      </c>
      <c r="Y210" s="900">
        <f>X210+SUMIF('11.2. Нови активи отч.год.'!$B$111:$B$131,$B210,'11.2. Нови активи отч.год.'!Y$111:Y$131)</f>
        <v>0</v>
      </c>
      <c r="Z210" s="1592"/>
      <c r="AA210" s="1623"/>
      <c r="AB210" s="1647"/>
    </row>
    <row r="211" spans="1:28" s="1563" customFormat="1">
      <c r="A211" s="1650">
        <v>20</v>
      </c>
      <c r="B211" s="1595" t="s">
        <v>970</v>
      </c>
      <c r="C211" s="1596">
        <v>0.04</v>
      </c>
      <c r="D211" s="1648" t="s">
        <v>606</v>
      </c>
      <c r="E211" s="2169"/>
      <c r="F211" s="898">
        <f>E211+SUMIF('11.2. Нови активи отч.год.'!$B$111:$B$131,$B211,'11.2. Нови активи отч.год.'!F$111:F$131)</f>
        <v>0</v>
      </c>
      <c r="G211" s="899">
        <f>F211+SUMIF('11.2. Нови активи отч.год.'!$B$111:$B$131,$B211,'11.2. Нови активи отч.год.'!G$111:G$131)</f>
        <v>0</v>
      </c>
      <c r="H211" s="899">
        <f>G211+SUMIF('11.2. Нови активи отч.год.'!$B$111:$B$131,$B211,'11.2. Нови активи отч.год.'!H$111:H$131)</f>
        <v>0</v>
      </c>
      <c r="I211" s="899">
        <f>H211+SUMIF('11.2. Нови активи отч.год.'!$B$111:$B$131,$B211,'11.2. Нови активи отч.год.'!I$111:I$131)</f>
        <v>0</v>
      </c>
      <c r="J211" s="899">
        <f>I211+SUMIF('11.2. Нови активи отч.год.'!$B$111:$B$131,$B211,'11.2. Нови активи отч.год.'!J$111:J$131)</f>
        <v>0</v>
      </c>
      <c r="K211" s="900">
        <f>J211+SUMIF('11.2. Нови активи отч.год.'!$B$111:$B$131,$B211,'11.2. Нови активи отч.год.'!K$111:K$131)</f>
        <v>0</v>
      </c>
      <c r="L211" s="2169"/>
      <c r="M211" s="898">
        <f>L211+SUMIF('11.2. Нови активи отч.год.'!$B$111:$B$131,$B211,'11.2. Нови активи отч.год.'!M$111:M$131)</f>
        <v>0</v>
      </c>
      <c r="N211" s="899">
        <f>M211+SUMIF('11.2. Нови активи отч.год.'!$B$111:$B$131,$B211,'11.2. Нови активи отч.год.'!N$111:N$131)</f>
        <v>0</v>
      </c>
      <c r="O211" s="899">
        <f>N211+SUMIF('11.2. Нови активи отч.год.'!$B$111:$B$131,$B211,'11.2. Нови активи отч.год.'!O$111:O$131)</f>
        <v>0</v>
      </c>
      <c r="P211" s="899">
        <f>O211+SUMIF('11.2. Нови активи отч.год.'!$B$111:$B$131,$B211,'11.2. Нови активи отч.год.'!P$111:P$131)</f>
        <v>0</v>
      </c>
      <c r="Q211" s="899">
        <f>P211+SUMIF('11.2. Нови активи отч.год.'!$B$111:$B$131,$B211,'11.2. Нови активи отч.год.'!Q$111:Q$131)</f>
        <v>0</v>
      </c>
      <c r="R211" s="900">
        <f>Q211+SUMIF('11.2. Нови активи отч.год.'!$B$111:$B$131,$B211,'11.2. Нови активи отч.год.'!R$111:R$131)</f>
        <v>0</v>
      </c>
      <c r="S211" s="2169"/>
      <c r="T211" s="898">
        <f>S211+SUMIF('11.2. Нови активи отч.год.'!$B$111:$B$131,$B211,'11.2. Нови активи отч.год.'!T$111:T$131)</f>
        <v>0</v>
      </c>
      <c r="U211" s="899">
        <f>T211+SUMIF('11.2. Нови активи отч.год.'!$B$111:$B$131,$B211,'11.2. Нови активи отч.год.'!U$111:U$131)</f>
        <v>0</v>
      </c>
      <c r="V211" s="899">
        <f>U211+SUMIF('11.2. Нови активи отч.год.'!$B$111:$B$131,$B211,'11.2. Нови активи отч.год.'!V$111:V$131)</f>
        <v>0</v>
      </c>
      <c r="W211" s="899">
        <f>V211+SUMIF('11.2. Нови активи отч.год.'!$B$111:$B$131,$B211,'11.2. Нови активи отч.год.'!W$111:W$131)</f>
        <v>0</v>
      </c>
      <c r="X211" s="899">
        <f>W211+SUMIF('11.2. Нови активи отч.год.'!$B$111:$B$131,$B211,'11.2. Нови активи отч.год.'!X$111:X$131)</f>
        <v>0</v>
      </c>
      <c r="Y211" s="900">
        <f>X211+SUMIF('11.2. Нови активи отч.год.'!$B$111:$B$131,$B211,'11.2. Нови активи отч.год.'!Y$111:Y$131)</f>
        <v>0</v>
      </c>
      <c r="Z211" s="1592"/>
      <c r="AA211" s="1623"/>
      <c r="AB211" s="1647"/>
    </row>
    <row r="212" spans="1:28" s="1563" customFormat="1" ht="24.75" thickBot="1">
      <c r="A212" s="1650">
        <v>21</v>
      </c>
      <c r="B212" s="1595" t="s">
        <v>960</v>
      </c>
      <c r="C212" s="1600">
        <v>0.2</v>
      </c>
      <c r="D212" s="1546" t="s">
        <v>911</v>
      </c>
      <c r="E212" s="2169">
        <v>378</v>
      </c>
      <c r="F212" s="904">
        <f>E212+SUMIF('11.2. Нови активи отч.год.'!$B$111:$B$131,$B212,'11.2. Нови активи отч.год.'!F$111:F$131)</f>
        <v>378</v>
      </c>
      <c r="G212" s="905">
        <f>F212+SUMIF('11.2. Нови активи отч.год.'!$B$111:$B$131,$B212,'11.2. Нови активи отч.год.'!G$111:G$131)</f>
        <v>378</v>
      </c>
      <c r="H212" s="905">
        <f>G212+SUMIF('11.2. Нови активи отч.год.'!$B$111:$B$131,$B212,'11.2. Нови активи отч.год.'!H$111:H$131)</f>
        <v>378</v>
      </c>
      <c r="I212" s="905">
        <f>H212+SUMIF('11.2. Нови активи отч.год.'!$B$111:$B$131,$B212,'11.2. Нови активи отч.год.'!I$111:I$131)</f>
        <v>378</v>
      </c>
      <c r="J212" s="905">
        <f>I212+SUMIF('11.2. Нови активи отч.год.'!$B$111:$B$131,$B212,'11.2. Нови активи отч.год.'!J$111:J$131)</f>
        <v>378</v>
      </c>
      <c r="K212" s="906">
        <f>J212+SUMIF('11.2. Нови активи отч.год.'!$B$111:$B$131,$B212,'11.2. Нови активи отч.год.'!K$111:K$131)</f>
        <v>378</v>
      </c>
      <c r="L212" s="2169"/>
      <c r="M212" s="904">
        <f>L212+SUMIF('11.2. Нови активи отч.год.'!$B$111:$B$131,$B212,'11.2. Нови активи отч.год.'!M$111:M$131)</f>
        <v>0</v>
      </c>
      <c r="N212" s="905">
        <f>M212+SUMIF('11.2. Нови активи отч.год.'!$B$111:$B$131,$B212,'11.2. Нови активи отч.год.'!N$111:N$131)</f>
        <v>0</v>
      </c>
      <c r="O212" s="905">
        <f>N212+SUMIF('11.2. Нови активи отч.год.'!$B$111:$B$131,$B212,'11.2. Нови активи отч.год.'!O$111:O$131)</f>
        <v>0</v>
      </c>
      <c r="P212" s="905">
        <f>O212+SUMIF('11.2. Нови активи отч.год.'!$B$111:$B$131,$B212,'11.2. Нови активи отч.год.'!P$111:P$131)</f>
        <v>0</v>
      </c>
      <c r="Q212" s="905">
        <f>P212+SUMIF('11.2. Нови активи отч.год.'!$B$111:$B$131,$B212,'11.2. Нови активи отч.год.'!Q$111:Q$131)</f>
        <v>0</v>
      </c>
      <c r="R212" s="906">
        <f>Q212+SUMIF('11.2. Нови активи отч.год.'!$B$111:$B$131,$B212,'11.2. Нови активи отч.год.'!R$111:R$131)</f>
        <v>0</v>
      </c>
      <c r="S212" s="2169"/>
      <c r="T212" s="904">
        <f>S212+SUMIF('11.2. Нови активи отч.год.'!$B$111:$B$131,$B212,'11.2. Нови активи отч.год.'!T$111:T$131)</f>
        <v>0</v>
      </c>
      <c r="U212" s="905">
        <f>T212+SUMIF('11.2. Нови активи отч.год.'!$B$111:$B$131,$B212,'11.2. Нови активи отч.год.'!U$111:U$131)</f>
        <v>0</v>
      </c>
      <c r="V212" s="905">
        <f>U212+SUMIF('11.2. Нови активи отч.год.'!$B$111:$B$131,$B212,'11.2. Нови активи отч.год.'!V$111:V$131)</f>
        <v>0</v>
      </c>
      <c r="W212" s="905">
        <f>V212+SUMIF('11.2. Нови активи отч.год.'!$B$111:$B$131,$B212,'11.2. Нови активи отч.год.'!W$111:W$131)</f>
        <v>0</v>
      </c>
      <c r="X212" s="905">
        <f>W212+SUMIF('11.2. Нови активи отч.год.'!$B$111:$B$131,$B212,'11.2. Нови активи отч.год.'!X$111:X$131)</f>
        <v>0</v>
      </c>
      <c r="Y212" s="906">
        <f>X212+SUMIF('11.2. Нови активи отч.год.'!$B$111:$B$131,$B212,'11.2. Нови активи отч.год.'!Y$111:Y$131)</f>
        <v>0</v>
      </c>
      <c r="Z212" s="1592"/>
      <c r="AA212" s="1623"/>
      <c r="AB212" s="1647"/>
    </row>
    <row r="213" spans="1:28" s="1563" customFormat="1" ht="13.5" thickBot="1">
      <c r="A213" s="1615" t="s">
        <v>269</v>
      </c>
      <c r="B213" s="1616"/>
      <c r="C213" s="1616"/>
      <c r="D213" s="1586" t="s">
        <v>281</v>
      </c>
      <c r="E213" s="2642">
        <f t="shared" ref="E213:Y213" si="105">SUM(E214:E234)</f>
        <v>1790</v>
      </c>
      <c r="F213" s="2637">
        <f t="shared" si="105"/>
        <v>1790</v>
      </c>
      <c r="G213" s="1098">
        <f t="shared" si="105"/>
        <v>1880.58</v>
      </c>
      <c r="H213" s="1098">
        <f t="shared" si="105"/>
        <v>2020.7</v>
      </c>
      <c r="I213" s="1999">
        <f t="shared" si="105"/>
        <v>2193.2799999999997</v>
      </c>
      <c r="J213" s="1098">
        <f t="shared" si="105"/>
        <v>2265.12</v>
      </c>
      <c r="K213" s="1098">
        <f t="shared" si="105"/>
        <v>2265.12</v>
      </c>
      <c r="L213" s="2642">
        <f t="shared" si="105"/>
        <v>780</v>
      </c>
      <c r="M213" s="2637">
        <f t="shared" si="105"/>
        <v>780</v>
      </c>
      <c r="N213" s="1098">
        <f t="shared" si="105"/>
        <v>966.1</v>
      </c>
      <c r="O213" s="1098">
        <f t="shared" si="105"/>
        <v>966.1</v>
      </c>
      <c r="P213" s="1999">
        <f t="shared" si="105"/>
        <v>1048.52</v>
      </c>
      <c r="Q213" s="1098">
        <f t="shared" si="105"/>
        <v>2035.3600000000001</v>
      </c>
      <c r="R213" s="1098">
        <f t="shared" si="105"/>
        <v>2035.3600000000001</v>
      </c>
      <c r="S213" s="2642">
        <f t="shared" si="105"/>
        <v>704</v>
      </c>
      <c r="T213" s="2655">
        <f t="shared" si="105"/>
        <v>704</v>
      </c>
      <c r="U213" s="2656">
        <f t="shared" si="105"/>
        <v>809.76</v>
      </c>
      <c r="V213" s="2656">
        <f t="shared" si="105"/>
        <v>1409.72</v>
      </c>
      <c r="W213" s="2657">
        <f t="shared" si="105"/>
        <v>1883.72</v>
      </c>
      <c r="X213" s="2656">
        <f t="shared" si="105"/>
        <v>1969.28</v>
      </c>
      <c r="Y213" s="2658">
        <f t="shared" si="105"/>
        <v>1969.28</v>
      </c>
      <c r="Z213" s="1601"/>
      <c r="AA213" s="1623"/>
      <c r="AB213" s="1647"/>
    </row>
    <row r="214" spans="1:28" s="1563" customFormat="1">
      <c r="A214" s="1594">
        <v>1</v>
      </c>
      <c r="B214" s="1652" t="s">
        <v>949</v>
      </c>
      <c r="C214" s="1611">
        <v>0</v>
      </c>
      <c r="D214" s="657" t="s">
        <v>760</v>
      </c>
      <c r="E214" s="2169">
        <v>0</v>
      </c>
      <c r="F214" s="2659">
        <f>$E214-SUMIF('11.2. Нови активи отч.год.'!$B$155:$B$175,$B214,'11.2. Нови активи отч.год.'!$E$155:$E$175)+SUMIF('11.2. Нови активи отч.год.'!$B$155:$B$175,$B214,'11.2. Нови активи отч.год.'!F$155:F$175)</f>
        <v>0</v>
      </c>
      <c r="G214" s="2660">
        <f>$E214-SUMIF('11.2. Нови активи отч.год.'!$B$155:$B$175,$B214,'11.2. Нови активи отч.год.'!$E$155:$E$175)+SUMIF('11.2. Нови активи отч.год.'!$B$155:$B$175,$B214,'11.2. Нови активи отч.год.'!G$155:G$175)</f>
        <v>0</v>
      </c>
      <c r="H214" s="2660">
        <f>$E214-SUMIF('11.2. Нови активи отч.год.'!$B$155:$B$175,$B214,'11.2. Нови активи отч.год.'!$E$155:$E$175)+SUMIF('11.2. Нови активи отч.год.'!$B$155:$B$175,$B214,'11.2. Нови активи отч.год.'!H$155:H$175)</f>
        <v>0</v>
      </c>
      <c r="I214" s="2660">
        <f>$E214-SUMIF('11.2. Нови активи отч.год.'!$B$155:$B$175,$B214,'11.2. Нови активи отч.год.'!$E$155:$E$175)+SUMIF('11.2. Нови активи отч.год.'!$B$155:$B$175,$B214,'11.2. Нови активи отч.год.'!I$155:I$175)</f>
        <v>0</v>
      </c>
      <c r="J214" s="2660">
        <f>$E214-SUMIF('11.2. Нови активи отч.год.'!$B$155:$B$175,$B214,'11.2. Нови активи отч.год.'!$E$155:$E$175)+SUMIF('11.2. Нови активи отч.год.'!$B$155:$B$175,$B214,'11.2. Нови активи отч.год.'!J$155:J$175)</f>
        <v>0</v>
      </c>
      <c r="K214" s="2661">
        <f>$E214-SUMIF('11.2. Нови активи отч.год.'!$B$155:$B$175,$B214,'11.2. Нови активи отч.год.'!$E$155:$E$175)+SUMIF('11.2. Нови активи отч.год.'!$B$155:$B$175,$B214,'11.2. Нови активи отч.год.'!K$155:K$175)</f>
        <v>0</v>
      </c>
      <c r="L214" s="2169"/>
      <c r="M214" s="2659">
        <f>$L214-SUMIF('11.2. Нови активи отч.год.'!$B$155:$B$175,$B214,'11.2. Нови активи отч.год.'!$L$155:$L$175)+SUMIF('11.2. Нови активи отч.год.'!$B$155:$B$175,$B214,'11.2. Нови активи отч.год.'!M$155:M$175)</f>
        <v>0</v>
      </c>
      <c r="N214" s="2660">
        <f>$L214-SUMIF('11.2. Нови активи отч.год.'!$B$155:$B$175,$B214,'11.2. Нови активи отч.год.'!$L$155:$L$175)+SUMIF('11.2. Нови активи отч.год.'!$B$155:$B$175,$B214,'11.2. Нови активи отч.год.'!N$155:N$175)</f>
        <v>0</v>
      </c>
      <c r="O214" s="2660">
        <f>$L214-SUMIF('11.2. Нови активи отч.год.'!$B$155:$B$175,$B214,'11.2. Нови активи отч.год.'!$L$155:$L$175)+SUMIF('11.2. Нови активи отч.год.'!$B$155:$B$175,$B214,'11.2. Нови активи отч.год.'!O$155:O$175)</f>
        <v>0</v>
      </c>
      <c r="P214" s="2660">
        <f>$L214-SUMIF('11.2. Нови активи отч.год.'!$B$155:$B$175,$B214,'11.2. Нови активи отч.год.'!$L$155:$L$175)+SUMIF('11.2. Нови активи отч.год.'!$B$155:$B$175,$B214,'11.2. Нови активи отч.год.'!P$155:P$175)</f>
        <v>0</v>
      </c>
      <c r="Q214" s="2660">
        <f>$L214-SUMIF('11.2. Нови активи отч.год.'!$B$155:$B$175,$B214,'11.2. Нови активи отч.год.'!$L$155:$L$175)+SUMIF('11.2. Нови активи отч.год.'!$B$155:$B$175,$B214,'11.2. Нови активи отч.год.'!Q$155:Q$175)</f>
        <v>0</v>
      </c>
      <c r="R214" s="2661">
        <f>$L214-SUMIF('11.2. Нови активи отч.год.'!$B$155:$B$175,$B214,'11.2. Нови активи отч.год.'!$L$155:$L$175)+SUMIF('11.2. Нови активи отч.год.'!$B$155:$B$175,$B214,'11.2. Нови активи отч.год.'!R$155:R$175)</f>
        <v>0</v>
      </c>
      <c r="S214" s="2169"/>
      <c r="T214" s="2659">
        <f>$S214-SUMIF('11.2. Нови активи отч.год.'!$B$155:$B$175,$B214,'11.2. Нови активи отч.год.'!$S$155:$S$175)+SUMIF('11.2. Нови активи отч.год.'!$B$155:$B$175,$B214,'11.2. Нови активи отч.год.'!T$155:T$175)</f>
        <v>0</v>
      </c>
      <c r="U214" s="2660">
        <f>$S214-SUMIF('11.2. Нови активи отч.год.'!$B$155:$B$175,$B214,'11.2. Нови активи отч.год.'!$S$155:$S$175)+SUMIF('11.2. Нови активи отч.год.'!$B$155:$B$175,$B214,'11.2. Нови активи отч.год.'!U$155:U$175)</f>
        <v>0</v>
      </c>
      <c r="V214" s="2660">
        <f>$S214-SUMIF('11.2. Нови активи отч.год.'!$B$155:$B$175,$B214,'11.2. Нови активи отч.год.'!$S$155:$S$175)+SUMIF('11.2. Нови активи отч.год.'!$B$155:$B$175,$B214,'11.2. Нови активи отч.год.'!V$155:V$175)</f>
        <v>0</v>
      </c>
      <c r="W214" s="2660">
        <f>$S214-SUMIF('11.2. Нови активи отч.год.'!$B$155:$B$175,$B214,'11.2. Нови активи отч.год.'!$S$155:$S$175)+SUMIF('11.2. Нови активи отч.год.'!$B$155:$B$175,$B214,'11.2. Нови активи отч.год.'!W$155:W$175)</f>
        <v>0</v>
      </c>
      <c r="X214" s="2660">
        <f>$S214-SUMIF('11.2. Нови активи отч.год.'!$B$155:$B$175,$B214,'11.2. Нови активи отч.год.'!$S$155:$S$175)+SUMIF('11.2. Нови активи отч.год.'!$B$155:$B$175,$B214,'11.2. Нови активи отч.год.'!X$155:X$175)</f>
        <v>0</v>
      </c>
      <c r="Y214" s="2661">
        <f>$S214-SUMIF('11.2. Нови активи отч.год.'!$B$155:$B$175,$B214,'11.2. Нови активи отч.год.'!$S$155:$S$175)+SUMIF('11.2. Нови активи отч.год.'!$B$155:$B$175,$B214,'11.2. Нови активи отч.год.'!Y$155:Y$175)</f>
        <v>0</v>
      </c>
      <c r="Z214" s="1601"/>
      <c r="AA214" s="1623"/>
      <c r="AB214" s="1647"/>
    </row>
    <row r="215" spans="1:28" s="1563" customFormat="1">
      <c r="A215" s="1594">
        <v>2</v>
      </c>
      <c r="B215" s="1595" t="s">
        <v>950</v>
      </c>
      <c r="C215" s="1596">
        <v>0.03</v>
      </c>
      <c r="D215" s="1648" t="s">
        <v>598</v>
      </c>
      <c r="E215" s="2169">
        <v>11</v>
      </c>
      <c r="F215" s="2662">
        <f>$E215-SUMIF('11.2. Нови активи отч.год.'!$B$155:$B$175,$B215,'11.2. Нови активи отч.год.'!$E$155:$E$175)+SUMIF('11.2. Нови активи отч.год.'!$B$155:$B$175,$B215,'11.2. Нови активи отч.год.'!F$155:F$175)</f>
        <v>11</v>
      </c>
      <c r="G215" s="2663">
        <f>$E215-SUMIF('11.2. Нови активи отч.год.'!$B$155:$B$175,$B215,'11.2. Нови активи отч.год.'!$E$155:$E$175)+SUMIF('11.2. Нови активи отч.год.'!$B$155:$B$175,$B215,'11.2. Нови активи отч.год.'!G$155:G$175)</f>
        <v>11</v>
      </c>
      <c r="H215" s="2663">
        <f>$E215-SUMIF('11.2. Нови активи отч.год.'!$B$155:$B$175,$B215,'11.2. Нови активи отч.год.'!$E$155:$E$175)+SUMIF('11.2. Нови активи отч.год.'!$B$155:$B$175,$B215,'11.2. Нови активи отч.год.'!H$155:H$175)</f>
        <v>11</v>
      </c>
      <c r="I215" s="2663">
        <f>$E215-SUMIF('11.2. Нови активи отч.год.'!$B$155:$B$175,$B215,'11.2. Нови активи отч.год.'!$E$155:$E$175)+SUMIF('11.2. Нови активи отч.год.'!$B$155:$B$175,$B215,'11.2. Нови активи отч.год.'!I$155:I$175)</f>
        <v>11</v>
      </c>
      <c r="J215" s="2663">
        <f>$E215-SUMIF('11.2. Нови активи отч.год.'!$B$155:$B$175,$B215,'11.2. Нови активи отч.год.'!$E$155:$E$175)+SUMIF('11.2. Нови активи отч.год.'!$B$155:$B$175,$B215,'11.2. Нови активи отч.год.'!J$155:J$175)</f>
        <v>11</v>
      </c>
      <c r="K215" s="2664">
        <f>$E215-SUMIF('11.2. Нови активи отч.год.'!$B$155:$B$175,$B215,'11.2. Нови активи отч.год.'!$E$155:$E$175)+SUMIF('11.2. Нови активи отч.год.'!$B$155:$B$175,$B215,'11.2. Нови активи отч.год.'!K$155:K$175)</f>
        <v>11</v>
      </c>
      <c r="L215" s="2169"/>
      <c r="M215" s="2662">
        <f>$L215-SUMIF('11.2. Нови активи отч.год.'!$B$155:$B$175,$B215,'11.2. Нови активи отч.год.'!$L$155:$L$175)+SUMIF('11.2. Нови активи отч.год.'!$B$155:$B$175,$B215,'11.2. Нови активи отч.год.'!M$155:M$175)</f>
        <v>0</v>
      </c>
      <c r="N215" s="2663">
        <f>$L215-SUMIF('11.2. Нови активи отч.год.'!$B$155:$B$175,$B215,'11.2. Нови активи отч.год.'!$L$155:$L$175)+SUMIF('11.2. Нови активи отч.год.'!$B$155:$B$175,$B215,'11.2. Нови активи отч.год.'!N$155:N$175)</f>
        <v>0</v>
      </c>
      <c r="O215" s="2663">
        <f>$L215-SUMIF('11.2. Нови активи отч.год.'!$B$155:$B$175,$B215,'11.2. Нови активи отч.год.'!$L$155:$L$175)+SUMIF('11.2. Нови активи отч.год.'!$B$155:$B$175,$B215,'11.2. Нови активи отч.год.'!O$155:O$175)</f>
        <v>0</v>
      </c>
      <c r="P215" s="2663">
        <f>$L215-SUMIF('11.2. Нови активи отч.год.'!$B$155:$B$175,$B215,'11.2. Нови активи отч.год.'!$L$155:$L$175)+SUMIF('11.2. Нови активи отч.год.'!$B$155:$B$175,$B215,'11.2. Нови активи отч.год.'!P$155:P$175)</f>
        <v>0</v>
      </c>
      <c r="Q215" s="2663">
        <f>$L215-SUMIF('11.2. Нови активи отч.год.'!$B$155:$B$175,$B215,'11.2. Нови активи отч.год.'!$L$155:$L$175)+SUMIF('11.2. Нови активи отч.год.'!$B$155:$B$175,$B215,'11.2. Нови активи отч.год.'!Q$155:Q$175)</f>
        <v>0</v>
      </c>
      <c r="R215" s="2664">
        <f>$L215-SUMIF('11.2. Нови активи отч.год.'!$B$155:$B$175,$B215,'11.2. Нови активи отч.год.'!$L$155:$L$175)+SUMIF('11.2. Нови активи отч.год.'!$B$155:$B$175,$B215,'11.2. Нови активи отч.год.'!R$155:R$175)</f>
        <v>0</v>
      </c>
      <c r="S215" s="2169"/>
      <c r="T215" s="2662">
        <f>$S215-SUMIF('11.2. Нови активи отч.год.'!$B$155:$B$175,$B215,'11.2. Нови активи отч.год.'!$S$155:$S$175)+SUMIF('11.2. Нови активи отч.год.'!$B$155:$B$175,$B215,'11.2. Нови активи отч.год.'!T$155:T$175)</f>
        <v>0</v>
      </c>
      <c r="U215" s="2663">
        <f>$S215-SUMIF('11.2. Нови активи отч.год.'!$B$155:$B$175,$B215,'11.2. Нови активи отч.год.'!$S$155:$S$175)+SUMIF('11.2. Нови активи отч.год.'!$B$155:$B$175,$B215,'11.2. Нови активи отч.год.'!U$155:U$175)</f>
        <v>0</v>
      </c>
      <c r="V215" s="2663">
        <f>$S215-SUMIF('11.2. Нови активи отч.год.'!$B$155:$B$175,$B215,'11.2. Нови активи отч.год.'!$S$155:$S$175)+SUMIF('11.2. Нови активи отч.год.'!$B$155:$B$175,$B215,'11.2. Нови активи отч.год.'!V$155:V$175)</f>
        <v>0</v>
      </c>
      <c r="W215" s="2663">
        <f>$S215-SUMIF('11.2. Нови активи отч.год.'!$B$155:$B$175,$B215,'11.2. Нови активи отч.год.'!$S$155:$S$175)+SUMIF('11.2. Нови активи отч.год.'!$B$155:$B$175,$B215,'11.2. Нови активи отч.год.'!W$155:W$175)</f>
        <v>0</v>
      </c>
      <c r="X215" s="2663">
        <f>$S215-SUMIF('11.2. Нови активи отч.год.'!$B$155:$B$175,$B215,'11.2. Нови активи отч.год.'!$S$155:$S$175)+SUMIF('11.2. Нови активи отч.год.'!$B$155:$B$175,$B215,'11.2. Нови активи отч.год.'!X$155:X$175)</f>
        <v>0</v>
      </c>
      <c r="Y215" s="2664">
        <f>$S215-SUMIF('11.2. Нови активи отч.год.'!$B$155:$B$175,$B215,'11.2. Нови активи отч.год.'!$S$155:$S$175)+SUMIF('11.2. Нови активи отч.год.'!$B$155:$B$175,$B215,'11.2. Нови активи отч.год.'!Y$155:Y$175)</f>
        <v>0</v>
      </c>
      <c r="Z215" s="1601"/>
      <c r="AA215" s="1623"/>
      <c r="AB215" s="1647"/>
    </row>
    <row r="216" spans="1:28" s="1563" customFormat="1">
      <c r="A216" s="1594">
        <v>3</v>
      </c>
      <c r="B216" s="1595">
        <v>911301</v>
      </c>
      <c r="C216" s="1596">
        <v>0.1</v>
      </c>
      <c r="D216" s="1648" t="s">
        <v>599</v>
      </c>
      <c r="E216" s="2169"/>
      <c r="F216" s="2662">
        <f>$E216-SUMIF('11.2. Нови активи отч.год.'!$B$155:$B$175,$B216,'11.2. Нови активи отч.год.'!$E$155:$E$175)+SUMIF('11.2. Нови активи отч.год.'!$B$155:$B$175,$B216,'11.2. Нови активи отч.год.'!F$155:F$175)</f>
        <v>0</v>
      </c>
      <c r="G216" s="2663">
        <f>$E216-SUMIF('11.2. Нови активи отч.год.'!$B$155:$B$175,$B216,'11.2. Нови активи отч.год.'!$E$155:$E$175)+SUMIF('11.2. Нови активи отч.год.'!$B$155:$B$175,$B216,'11.2. Нови активи отч.год.'!G$155:G$175)</f>
        <v>0</v>
      </c>
      <c r="H216" s="2663">
        <f>$E216-SUMIF('11.2. Нови активи отч.год.'!$B$155:$B$175,$B216,'11.2. Нови активи отч.год.'!$E$155:$E$175)+SUMIF('11.2. Нови активи отч.год.'!$B$155:$B$175,$B216,'11.2. Нови активи отч.год.'!H$155:H$175)</f>
        <v>0</v>
      </c>
      <c r="I216" s="2663">
        <f>$E216-SUMIF('11.2. Нови активи отч.год.'!$B$155:$B$175,$B216,'11.2. Нови активи отч.год.'!$E$155:$E$175)+SUMIF('11.2. Нови активи отч.год.'!$B$155:$B$175,$B216,'11.2. Нови активи отч.год.'!I$155:I$175)</f>
        <v>0</v>
      </c>
      <c r="J216" s="2663">
        <f>$E216-SUMIF('11.2. Нови активи отч.год.'!$B$155:$B$175,$B216,'11.2. Нови активи отч.год.'!$E$155:$E$175)+SUMIF('11.2. Нови активи отч.год.'!$B$155:$B$175,$B216,'11.2. Нови активи отч.год.'!J$155:J$175)</f>
        <v>0</v>
      </c>
      <c r="K216" s="2664">
        <f>$E216-SUMIF('11.2. Нови активи отч.год.'!$B$155:$B$175,$B216,'11.2. Нови активи отч.год.'!$E$155:$E$175)+SUMIF('11.2. Нови активи отч.год.'!$B$155:$B$175,$B216,'11.2. Нови активи отч.год.'!K$155:K$175)</f>
        <v>0</v>
      </c>
      <c r="L216" s="2169"/>
      <c r="M216" s="2662">
        <f>$L216-SUMIF('11.2. Нови активи отч.год.'!$B$155:$B$175,$B216,'11.2. Нови активи отч.год.'!$L$155:$L$175)+SUMIF('11.2. Нови активи отч.год.'!$B$155:$B$175,$B216,'11.2. Нови активи отч.год.'!M$155:M$175)</f>
        <v>0</v>
      </c>
      <c r="N216" s="2663">
        <f>$L216-SUMIF('11.2. Нови активи отч.год.'!$B$155:$B$175,$B216,'11.2. Нови активи отч.год.'!$L$155:$L$175)+SUMIF('11.2. Нови активи отч.год.'!$B$155:$B$175,$B216,'11.2. Нови активи отч.год.'!N$155:N$175)</f>
        <v>0</v>
      </c>
      <c r="O216" s="2663">
        <f>$L216-SUMIF('11.2. Нови активи отч.год.'!$B$155:$B$175,$B216,'11.2. Нови активи отч.год.'!$L$155:$L$175)+SUMIF('11.2. Нови активи отч.год.'!$B$155:$B$175,$B216,'11.2. Нови активи отч.год.'!O$155:O$175)</f>
        <v>0</v>
      </c>
      <c r="P216" s="2663">
        <f>$L216-SUMIF('11.2. Нови активи отч.год.'!$B$155:$B$175,$B216,'11.2. Нови активи отч.год.'!$L$155:$L$175)+SUMIF('11.2. Нови активи отч.год.'!$B$155:$B$175,$B216,'11.2. Нови активи отч.год.'!P$155:P$175)</f>
        <v>0</v>
      </c>
      <c r="Q216" s="2663">
        <f>$L216-SUMIF('11.2. Нови активи отч.год.'!$B$155:$B$175,$B216,'11.2. Нови активи отч.год.'!$L$155:$L$175)+SUMIF('11.2. Нови активи отч.год.'!$B$155:$B$175,$B216,'11.2. Нови активи отч.год.'!Q$155:Q$175)</f>
        <v>0</v>
      </c>
      <c r="R216" s="2664">
        <f>$L216-SUMIF('11.2. Нови активи отч.год.'!$B$155:$B$175,$B216,'11.2. Нови активи отч.год.'!$L$155:$L$175)+SUMIF('11.2. Нови активи отч.год.'!$B$155:$B$175,$B216,'11.2. Нови активи отч.год.'!R$155:R$175)</f>
        <v>0</v>
      </c>
      <c r="S216" s="2169"/>
      <c r="T216" s="2662">
        <f>$S216-SUMIF('11.2. Нови активи отч.год.'!$B$155:$B$175,$B216,'11.2. Нови активи отч.год.'!$S$155:$S$175)+SUMIF('11.2. Нови активи отч.год.'!$B$155:$B$175,$B216,'11.2. Нови активи отч.год.'!T$155:T$175)</f>
        <v>0</v>
      </c>
      <c r="U216" s="2663">
        <f>$S216-SUMIF('11.2. Нови активи отч.год.'!$B$155:$B$175,$B216,'11.2. Нови активи отч.год.'!$S$155:$S$175)+SUMIF('11.2. Нови активи отч.год.'!$B$155:$B$175,$B216,'11.2. Нови активи отч.год.'!U$155:U$175)</f>
        <v>0</v>
      </c>
      <c r="V216" s="2663">
        <f>$S216-SUMIF('11.2. Нови активи отч.год.'!$B$155:$B$175,$B216,'11.2. Нови активи отч.год.'!$S$155:$S$175)+SUMIF('11.2. Нови активи отч.год.'!$B$155:$B$175,$B216,'11.2. Нови активи отч.год.'!V$155:V$175)</f>
        <v>0</v>
      </c>
      <c r="W216" s="2663">
        <f>$S216-SUMIF('11.2. Нови активи отч.год.'!$B$155:$B$175,$B216,'11.2. Нови активи отч.год.'!$S$155:$S$175)+SUMIF('11.2. Нови активи отч.год.'!$B$155:$B$175,$B216,'11.2. Нови активи отч.год.'!W$155:W$175)</f>
        <v>0</v>
      </c>
      <c r="X216" s="2663">
        <f>$S216-SUMIF('11.2. Нови активи отч.год.'!$B$155:$B$175,$B216,'11.2. Нови активи отч.год.'!$S$155:$S$175)+SUMIF('11.2. Нови активи отч.год.'!$B$155:$B$175,$B216,'11.2. Нови активи отч.год.'!X$155:X$175)</f>
        <v>0</v>
      </c>
      <c r="Y216" s="2664">
        <f>$S216-SUMIF('11.2. Нови активи отч.год.'!$B$155:$B$175,$B216,'11.2. Нови активи отч.год.'!$S$155:$S$175)+SUMIF('11.2. Нови активи отч.год.'!$B$155:$B$175,$B216,'11.2. Нови активи отч.год.'!Y$155:Y$175)</f>
        <v>0</v>
      </c>
      <c r="Z216" s="1601"/>
      <c r="AA216" s="1623"/>
      <c r="AB216" s="1647"/>
    </row>
    <row r="217" spans="1:28" s="1563" customFormat="1">
      <c r="A217" s="1594">
        <v>4</v>
      </c>
      <c r="B217" s="1595">
        <v>911302</v>
      </c>
      <c r="C217" s="1596">
        <v>0.1</v>
      </c>
      <c r="D217" s="1648" t="s">
        <v>600</v>
      </c>
      <c r="E217" s="2169"/>
      <c r="F217" s="2662">
        <f>$E217-SUMIF('11.2. Нови активи отч.год.'!$B$155:$B$175,$B217,'11.2. Нови активи отч.год.'!$E$155:$E$175)+SUMIF('11.2. Нови активи отч.год.'!$B$155:$B$175,$B217,'11.2. Нови активи отч.год.'!F$155:F$175)</f>
        <v>0</v>
      </c>
      <c r="G217" s="2663">
        <f>$E217-SUMIF('11.2. Нови активи отч.год.'!$B$155:$B$175,$B217,'11.2. Нови активи отч.год.'!$E$155:$E$175)+SUMIF('11.2. Нови активи отч.год.'!$B$155:$B$175,$B217,'11.2. Нови активи отч.год.'!G$155:G$175)</f>
        <v>0</v>
      </c>
      <c r="H217" s="2663">
        <f>$E217-SUMIF('11.2. Нови активи отч.год.'!$B$155:$B$175,$B217,'11.2. Нови активи отч.год.'!$E$155:$E$175)+SUMIF('11.2. Нови активи отч.год.'!$B$155:$B$175,$B217,'11.2. Нови активи отч.год.'!H$155:H$175)</f>
        <v>0</v>
      </c>
      <c r="I217" s="2663">
        <f>$E217-SUMIF('11.2. Нови активи отч.год.'!$B$155:$B$175,$B217,'11.2. Нови активи отч.год.'!$E$155:$E$175)+SUMIF('11.2. Нови активи отч.год.'!$B$155:$B$175,$B217,'11.2. Нови активи отч.год.'!I$155:I$175)</f>
        <v>0</v>
      </c>
      <c r="J217" s="2663">
        <f>$E217-SUMIF('11.2. Нови активи отч.год.'!$B$155:$B$175,$B217,'11.2. Нови активи отч.год.'!$E$155:$E$175)+SUMIF('11.2. Нови активи отч.год.'!$B$155:$B$175,$B217,'11.2. Нови активи отч.год.'!J$155:J$175)</f>
        <v>0</v>
      </c>
      <c r="K217" s="2664">
        <f>$E217-SUMIF('11.2. Нови активи отч.год.'!$B$155:$B$175,$B217,'11.2. Нови активи отч.год.'!$E$155:$E$175)+SUMIF('11.2. Нови активи отч.год.'!$B$155:$B$175,$B217,'11.2. Нови активи отч.год.'!K$155:K$175)</f>
        <v>0</v>
      </c>
      <c r="L217" s="2169"/>
      <c r="M217" s="2662">
        <f>$L217-SUMIF('11.2. Нови активи отч.год.'!$B$155:$B$175,$B217,'11.2. Нови активи отч.год.'!$L$155:$L$175)+SUMIF('11.2. Нови активи отч.год.'!$B$155:$B$175,$B217,'11.2. Нови активи отч.год.'!M$155:M$175)</f>
        <v>0</v>
      </c>
      <c r="N217" s="2663">
        <f>$L217-SUMIF('11.2. Нови активи отч.год.'!$B$155:$B$175,$B217,'11.2. Нови активи отч.год.'!$L$155:$L$175)+SUMIF('11.2. Нови активи отч.год.'!$B$155:$B$175,$B217,'11.2. Нови активи отч.год.'!N$155:N$175)</f>
        <v>0</v>
      </c>
      <c r="O217" s="2663">
        <f>$L217-SUMIF('11.2. Нови активи отч.год.'!$B$155:$B$175,$B217,'11.2. Нови активи отч.год.'!$L$155:$L$175)+SUMIF('11.2. Нови активи отч.год.'!$B$155:$B$175,$B217,'11.2. Нови активи отч.год.'!O$155:O$175)</f>
        <v>0</v>
      </c>
      <c r="P217" s="2663">
        <f>$L217-SUMIF('11.2. Нови активи отч.год.'!$B$155:$B$175,$B217,'11.2. Нови активи отч.год.'!$L$155:$L$175)+SUMIF('11.2. Нови активи отч.год.'!$B$155:$B$175,$B217,'11.2. Нови активи отч.год.'!P$155:P$175)</f>
        <v>0</v>
      </c>
      <c r="Q217" s="2663">
        <f>$L217-SUMIF('11.2. Нови активи отч.год.'!$B$155:$B$175,$B217,'11.2. Нови активи отч.год.'!$L$155:$L$175)+SUMIF('11.2. Нови активи отч.год.'!$B$155:$B$175,$B217,'11.2. Нови активи отч.год.'!Q$155:Q$175)</f>
        <v>0</v>
      </c>
      <c r="R217" s="2664">
        <f>$L217-SUMIF('11.2. Нови активи отч.год.'!$B$155:$B$175,$B217,'11.2. Нови активи отч.год.'!$L$155:$L$175)+SUMIF('11.2. Нови активи отч.год.'!$B$155:$B$175,$B217,'11.2. Нови активи отч.год.'!R$155:R$175)</f>
        <v>0</v>
      </c>
      <c r="S217" s="2169"/>
      <c r="T217" s="2662">
        <f>$S217-SUMIF('11.2. Нови активи отч.год.'!$B$155:$B$175,$B217,'11.2. Нови активи отч.год.'!$S$155:$S$175)+SUMIF('11.2. Нови активи отч.год.'!$B$155:$B$175,$B217,'11.2. Нови активи отч.год.'!T$155:T$175)</f>
        <v>0</v>
      </c>
      <c r="U217" s="2663">
        <f>$S217-SUMIF('11.2. Нови активи отч.год.'!$B$155:$B$175,$B217,'11.2. Нови активи отч.год.'!$S$155:$S$175)+SUMIF('11.2. Нови активи отч.год.'!$B$155:$B$175,$B217,'11.2. Нови активи отч.год.'!U$155:U$175)</f>
        <v>0</v>
      </c>
      <c r="V217" s="2663">
        <f>$S217-SUMIF('11.2. Нови активи отч.год.'!$B$155:$B$175,$B217,'11.2. Нови активи отч.год.'!$S$155:$S$175)+SUMIF('11.2. Нови активи отч.год.'!$B$155:$B$175,$B217,'11.2. Нови активи отч.год.'!V$155:V$175)</f>
        <v>0</v>
      </c>
      <c r="W217" s="2663">
        <f>$S217-SUMIF('11.2. Нови активи отч.год.'!$B$155:$B$175,$B217,'11.2. Нови активи отч.год.'!$S$155:$S$175)+SUMIF('11.2. Нови активи отч.год.'!$B$155:$B$175,$B217,'11.2. Нови активи отч.год.'!W$155:W$175)</f>
        <v>0</v>
      </c>
      <c r="X217" s="2663">
        <f>$S217-SUMIF('11.2. Нови активи отч.год.'!$B$155:$B$175,$B217,'11.2. Нови активи отч.год.'!$S$155:$S$175)+SUMIF('11.2. Нови активи отч.год.'!$B$155:$B$175,$B217,'11.2. Нови активи отч.год.'!X$155:X$175)</f>
        <v>0</v>
      </c>
      <c r="Y217" s="2664">
        <f>$S217-SUMIF('11.2. Нови активи отч.год.'!$B$155:$B$175,$B217,'11.2. Нови активи отч.год.'!$S$155:$S$175)+SUMIF('11.2. Нови активи отч.год.'!$B$155:$B$175,$B217,'11.2. Нови активи отч.год.'!Y$155:Y$175)</f>
        <v>0</v>
      </c>
      <c r="Z217" s="1601"/>
      <c r="AA217" s="1623"/>
      <c r="AB217" s="1647"/>
    </row>
    <row r="218" spans="1:28" s="1563" customFormat="1">
      <c r="A218" s="1594">
        <v>5</v>
      </c>
      <c r="B218" s="1595" t="s">
        <v>967</v>
      </c>
      <c r="C218" s="1596">
        <v>0.1</v>
      </c>
      <c r="D218" s="1546" t="s">
        <v>579</v>
      </c>
      <c r="E218" s="2169"/>
      <c r="F218" s="2662">
        <f>$E218-SUMIF('11.2. Нови активи отч.год.'!$B$155:$B$175,$B218,'11.2. Нови активи отч.год.'!$E$155:$E$175)+SUMIF('11.2. Нови активи отч.год.'!$B$155:$B$175,$B218,'11.2. Нови активи отч.год.'!F$155:F$175)</f>
        <v>0</v>
      </c>
      <c r="G218" s="2663">
        <f>$E218-SUMIF('11.2. Нови активи отч.год.'!$B$155:$B$175,$B218,'11.2. Нови активи отч.год.'!$E$155:$E$175)+SUMIF('11.2. Нови активи отч.год.'!$B$155:$B$175,$B218,'11.2. Нови активи отч.год.'!G$155:G$175)</f>
        <v>0</v>
      </c>
      <c r="H218" s="2663">
        <f>$E218-SUMIF('11.2. Нови активи отч.год.'!$B$155:$B$175,$B218,'11.2. Нови активи отч.год.'!$E$155:$E$175)+SUMIF('11.2. Нови активи отч.год.'!$B$155:$B$175,$B218,'11.2. Нови активи отч.год.'!H$155:H$175)</f>
        <v>0</v>
      </c>
      <c r="I218" s="2663">
        <f>$E218-SUMIF('11.2. Нови активи отч.год.'!$B$155:$B$175,$B218,'11.2. Нови активи отч.год.'!$E$155:$E$175)+SUMIF('11.2. Нови активи отч.год.'!$B$155:$B$175,$B218,'11.2. Нови активи отч.год.'!I$155:I$175)</f>
        <v>0</v>
      </c>
      <c r="J218" s="2663">
        <f>$E218-SUMIF('11.2. Нови активи отч.год.'!$B$155:$B$175,$B218,'11.2. Нови активи отч.год.'!$E$155:$E$175)+SUMIF('11.2. Нови активи отч.год.'!$B$155:$B$175,$B218,'11.2. Нови активи отч.год.'!J$155:J$175)</f>
        <v>0</v>
      </c>
      <c r="K218" s="2664">
        <f>$E218-SUMIF('11.2. Нови активи отч.год.'!$B$155:$B$175,$B218,'11.2. Нови активи отч.год.'!$E$155:$E$175)+SUMIF('11.2. Нови активи отч.год.'!$B$155:$B$175,$B218,'11.2. Нови активи отч.год.'!K$155:K$175)</f>
        <v>0</v>
      </c>
      <c r="L218" s="2169"/>
      <c r="M218" s="2662">
        <f>$L218-SUMIF('11.2. Нови активи отч.год.'!$B$155:$B$175,$B218,'11.2. Нови активи отч.год.'!$L$155:$L$175)+SUMIF('11.2. Нови активи отч.год.'!$B$155:$B$175,$B218,'11.2. Нови активи отч.год.'!M$155:M$175)</f>
        <v>0</v>
      </c>
      <c r="N218" s="2663">
        <f>$L218-SUMIF('11.2. Нови активи отч.год.'!$B$155:$B$175,$B218,'11.2. Нови активи отч.год.'!$L$155:$L$175)+SUMIF('11.2. Нови активи отч.год.'!$B$155:$B$175,$B218,'11.2. Нови активи отч.год.'!N$155:N$175)</f>
        <v>0</v>
      </c>
      <c r="O218" s="2663">
        <f>$L218-SUMIF('11.2. Нови активи отч.год.'!$B$155:$B$175,$B218,'11.2. Нови активи отч.год.'!$L$155:$L$175)+SUMIF('11.2. Нови активи отч.год.'!$B$155:$B$175,$B218,'11.2. Нови активи отч.год.'!O$155:O$175)</f>
        <v>0</v>
      </c>
      <c r="P218" s="2663">
        <f>$L218-SUMIF('11.2. Нови активи отч.год.'!$B$155:$B$175,$B218,'11.2. Нови активи отч.год.'!$L$155:$L$175)+SUMIF('11.2. Нови активи отч.год.'!$B$155:$B$175,$B218,'11.2. Нови активи отч.год.'!P$155:P$175)</f>
        <v>0</v>
      </c>
      <c r="Q218" s="2663">
        <f>$L218-SUMIF('11.2. Нови активи отч.год.'!$B$155:$B$175,$B218,'11.2. Нови активи отч.год.'!$L$155:$L$175)+SUMIF('11.2. Нови активи отч.год.'!$B$155:$B$175,$B218,'11.2. Нови активи отч.год.'!Q$155:Q$175)</f>
        <v>0</v>
      </c>
      <c r="R218" s="2664">
        <f>$L218-SUMIF('11.2. Нови активи отч.год.'!$B$155:$B$175,$B218,'11.2. Нови активи отч.год.'!$L$155:$L$175)+SUMIF('11.2. Нови активи отч.год.'!$B$155:$B$175,$B218,'11.2. Нови активи отч.год.'!R$155:R$175)</f>
        <v>0</v>
      </c>
      <c r="S218" s="2169"/>
      <c r="T218" s="2662">
        <f>$S218-SUMIF('11.2. Нови активи отч.год.'!$B$155:$B$175,$B218,'11.2. Нови активи отч.год.'!$S$155:$S$175)+SUMIF('11.2. Нови активи отч.год.'!$B$155:$B$175,$B218,'11.2. Нови активи отч.год.'!T$155:T$175)</f>
        <v>0</v>
      </c>
      <c r="U218" s="2663">
        <f>$S218-SUMIF('11.2. Нови активи отч.год.'!$B$155:$B$175,$B218,'11.2. Нови активи отч.год.'!$S$155:$S$175)+SUMIF('11.2. Нови активи отч.год.'!$B$155:$B$175,$B218,'11.2. Нови активи отч.год.'!U$155:U$175)</f>
        <v>0</v>
      </c>
      <c r="V218" s="2663">
        <f>$S218-SUMIF('11.2. Нови активи отч.год.'!$B$155:$B$175,$B218,'11.2. Нови активи отч.год.'!$S$155:$S$175)+SUMIF('11.2. Нови активи отч.год.'!$B$155:$B$175,$B218,'11.2. Нови активи отч.год.'!V$155:V$175)</f>
        <v>0</v>
      </c>
      <c r="W218" s="2663">
        <f>$S218-SUMIF('11.2. Нови активи отч.год.'!$B$155:$B$175,$B218,'11.2. Нови активи отч.год.'!$S$155:$S$175)+SUMIF('11.2. Нови активи отч.год.'!$B$155:$B$175,$B218,'11.2. Нови активи отч.год.'!W$155:W$175)</f>
        <v>0</v>
      </c>
      <c r="X218" s="2663">
        <f>$S218-SUMIF('11.2. Нови активи отч.год.'!$B$155:$B$175,$B218,'11.2. Нови активи отч.год.'!$S$155:$S$175)+SUMIF('11.2. Нови активи отч.год.'!$B$155:$B$175,$B218,'11.2. Нови активи отч.год.'!X$155:X$175)</f>
        <v>0</v>
      </c>
      <c r="Y218" s="2664">
        <f>$S218-SUMIF('11.2. Нови активи отч.год.'!$B$155:$B$175,$B218,'11.2. Нови активи отч.год.'!$S$155:$S$175)+SUMIF('11.2. Нови активи отч.год.'!$B$155:$B$175,$B218,'11.2. Нови активи отч.год.'!Y$155:Y$175)</f>
        <v>0</v>
      </c>
      <c r="Z218" s="1601"/>
      <c r="AA218" s="1623"/>
      <c r="AB218" s="1647"/>
    </row>
    <row r="219" spans="1:28" s="1563" customFormat="1">
      <c r="A219" s="1594">
        <v>6</v>
      </c>
      <c r="B219" s="1595" t="s">
        <v>968</v>
      </c>
      <c r="C219" s="1596">
        <v>0.1</v>
      </c>
      <c r="D219" s="1546" t="s">
        <v>1391</v>
      </c>
      <c r="E219" s="2169">
        <v>76</v>
      </c>
      <c r="F219" s="2662">
        <f>$E219-SUMIF('11.2. Нови активи отч.год.'!$B$155:$B$175,$B219,'11.2. Нови активи отч.год.'!$E$155:$E$175)+SUMIF('11.2. Нови активи отч.год.'!$B$155:$B$175,$B219,'11.2. Нови активи отч.год.'!F$155:F$175)</f>
        <v>76</v>
      </c>
      <c r="G219" s="2663">
        <f>$E219-SUMIF('11.2. Нови активи отч.год.'!$B$155:$B$175,$B219,'11.2. Нови активи отч.год.'!$E$155:$E$175)+SUMIF('11.2. Нови активи отч.год.'!$B$155:$B$175,$B219,'11.2. Нови активи отч.год.'!G$155:G$175)</f>
        <v>76</v>
      </c>
      <c r="H219" s="2663">
        <f>$E219-SUMIF('11.2. Нови активи отч.год.'!$B$155:$B$175,$B219,'11.2. Нови активи отч.год.'!$E$155:$E$175)+SUMIF('11.2. Нови активи отч.год.'!$B$155:$B$175,$B219,'11.2. Нови активи отч.год.'!H$155:H$175)</f>
        <v>76</v>
      </c>
      <c r="I219" s="2663">
        <f>$E219-SUMIF('11.2. Нови активи отч.год.'!$B$155:$B$175,$B219,'11.2. Нови активи отч.год.'!$E$155:$E$175)+SUMIF('11.2. Нови активи отч.год.'!$B$155:$B$175,$B219,'11.2. Нови активи отч.год.'!I$155:I$175)</f>
        <v>76</v>
      </c>
      <c r="J219" s="2663">
        <f>$E219-SUMIF('11.2. Нови активи отч.год.'!$B$155:$B$175,$B219,'11.2. Нови активи отч.год.'!$E$155:$E$175)+SUMIF('11.2. Нови активи отч.год.'!$B$155:$B$175,$B219,'11.2. Нови активи отч.год.'!J$155:J$175)</f>
        <v>76</v>
      </c>
      <c r="K219" s="2664">
        <f>$E219-SUMIF('11.2. Нови активи отч.год.'!$B$155:$B$175,$B219,'11.2. Нови активи отч.год.'!$E$155:$E$175)+SUMIF('11.2. Нови активи отч.год.'!$B$155:$B$175,$B219,'11.2. Нови активи отч.год.'!K$155:K$175)</f>
        <v>76</v>
      </c>
      <c r="L219" s="2169"/>
      <c r="M219" s="2662">
        <f>$L219-SUMIF('11.2. Нови активи отч.год.'!$B$155:$B$175,$B219,'11.2. Нови активи отч.год.'!$L$155:$L$175)+SUMIF('11.2. Нови активи отч.год.'!$B$155:$B$175,$B219,'11.2. Нови активи отч.год.'!M$155:M$175)</f>
        <v>0</v>
      </c>
      <c r="N219" s="2663">
        <f>$L219-SUMIF('11.2. Нови активи отч.год.'!$B$155:$B$175,$B219,'11.2. Нови активи отч.год.'!$L$155:$L$175)+SUMIF('11.2. Нови активи отч.год.'!$B$155:$B$175,$B219,'11.2. Нови активи отч.год.'!N$155:N$175)</f>
        <v>0</v>
      </c>
      <c r="O219" s="2663">
        <f>$L219-SUMIF('11.2. Нови активи отч.год.'!$B$155:$B$175,$B219,'11.2. Нови активи отч.год.'!$L$155:$L$175)+SUMIF('11.2. Нови активи отч.год.'!$B$155:$B$175,$B219,'11.2. Нови активи отч.год.'!O$155:O$175)</f>
        <v>0</v>
      </c>
      <c r="P219" s="2663">
        <f>$L219-SUMIF('11.2. Нови активи отч.год.'!$B$155:$B$175,$B219,'11.2. Нови активи отч.год.'!$L$155:$L$175)+SUMIF('11.2. Нови активи отч.год.'!$B$155:$B$175,$B219,'11.2. Нови активи отч.год.'!P$155:P$175)</f>
        <v>0</v>
      </c>
      <c r="Q219" s="2663">
        <f>$L219-SUMIF('11.2. Нови активи отч.год.'!$B$155:$B$175,$B219,'11.2. Нови активи отч.год.'!$L$155:$L$175)+SUMIF('11.2. Нови активи отч.год.'!$B$155:$B$175,$B219,'11.2. Нови активи отч.год.'!Q$155:Q$175)</f>
        <v>0</v>
      </c>
      <c r="R219" s="2664">
        <f>$L219-SUMIF('11.2. Нови активи отч.год.'!$B$155:$B$175,$B219,'11.2. Нови активи отч.год.'!$L$155:$L$175)+SUMIF('11.2. Нови активи отч.год.'!$B$155:$B$175,$B219,'11.2. Нови активи отч.год.'!R$155:R$175)</f>
        <v>0</v>
      </c>
      <c r="S219" s="2169"/>
      <c r="T219" s="2662">
        <f>$S219-SUMIF('11.2. Нови активи отч.год.'!$B$155:$B$175,$B219,'11.2. Нови активи отч.год.'!$S$155:$S$175)+SUMIF('11.2. Нови активи отч.год.'!$B$155:$B$175,$B219,'11.2. Нови активи отч.год.'!T$155:T$175)</f>
        <v>0</v>
      </c>
      <c r="U219" s="2663">
        <f>$S219-SUMIF('11.2. Нови активи отч.год.'!$B$155:$B$175,$B219,'11.2. Нови активи отч.год.'!$S$155:$S$175)+SUMIF('11.2. Нови активи отч.год.'!$B$155:$B$175,$B219,'11.2. Нови активи отч.год.'!U$155:U$175)</f>
        <v>0</v>
      </c>
      <c r="V219" s="2663">
        <f>$S219-SUMIF('11.2. Нови активи отч.год.'!$B$155:$B$175,$B219,'11.2. Нови активи отч.год.'!$S$155:$S$175)+SUMIF('11.2. Нови активи отч.год.'!$B$155:$B$175,$B219,'11.2. Нови активи отч.год.'!V$155:V$175)</f>
        <v>0</v>
      </c>
      <c r="W219" s="2663">
        <f>$S219-SUMIF('11.2. Нови активи отч.год.'!$B$155:$B$175,$B219,'11.2. Нови активи отч.год.'!$S$155:$S$175)+SUMIF('11.2. Нови активи отч.год.'!$B$155:$B$175,$B219,'11.2. Нови активи отч.год.'!W$155:W$175)</f>
        <v>0</v>
      </c>
      <c r="X219" s="2663">
        <f>$S219-SUMIF('11.2. Нови активи отч.год.'!$B$155:$B$175,$B219,'11.2. Нови активи отч.год.'!$S$155:$S$175)+SUMIF('11.2. Нови активи отч.год.'!$B$155:$B$175,$B219,'11.2. Нови активи отч.год.'!X$155:X$175)</f>
        <v>0</v>
      </c>
      <c r="Y219" s="2664">
        <f>$S219-SUMIF('11.2. Нови активи отч.год.'!$B$155:$B$175,$B219,'11.2. Нови активи отч.год.'!$S$155:$S$175)+SUMIF('11.2. Нови активи отч.год.'!$B$155:$B$175,$B219,'11.2. Нови активи отч.год.'!Y$155:Y$175)</f>
        <v>0</v>
      </c>
      <c r="Z219" s="1601"/>
      <c r="AA219" s="1623"/>
      <c r="AB219" s="1647"/>
    </row>
    <row r="220" spans="1:28" s="1563" customFormat="1" ht="24">
      <c r="A220" s="1594">
        <v>7</v>
      </c>
      <c r="B220" s="1595" t="s">
        <v>959</v>
      </c>
      <c r="C220" s="1596">
        <v>0.1</v>
      </c>
      <c r="D220" s="1546" t="s">
        <v>948</v>
      </c>
      <c r="E220" s="2169"/>
      <c r="F220" s="2662">
        <f>$E220-SUMIF('11.2. Нови активи отч.год.'!$B$155:$B$175,$B220,'11.2. Нови активи отч.год.'!$E$155:$E$175)+SUMIF('11.2. Нови активи отч.год.'!$B$155:$B$175,$B220,'11.2. Нови активи отч.год.'!F$155:F$175)</f>
        <v>0</v>
      </c>
      <c r="G220" s="2663">
        <f>$E220-SUMIF('11.2. Нови активи отч.год.'!$B$155:$B$175,$B220,'11.2. Нови активи отч.год.'!$E$155:$E$175)+SUMIF('11.2. Нови активи отч.год.'!$B$155:$B$175,$B220,'11.2. Нови активи отч.год.'!G$155:G$175)</f>
        <v>0</v>
      </c>
      <c r="H220" s="2663">
        <f>$E220-SUMIF('11.2. Нови активи отч.год.'!$B$155:$B$175,$B220,'11.2. Нови активи отч.год.'!$E$155:$E$175)+SUMIF('11.2. Нови активи отч.год.'!$B$155:$B$175,$B220,'11.2. Нови активи отч.год.'!H$155:H$175)</f>
        <v>0</v>
      </c>
      <c r="I220" s="2663">
        <f>$E220-SUMIF('11.2. Нови активи отч.год.'!$B$155:$B$175,$B220,'11.2. Нови активи отч.год.'!$E$155:$E$175)+SUMIF('11.2. Нови активи отч.год.'!$B$155:$B$175,$B220,'11.2. Нови активи отч.год.'!I$155:I$175)</f>
        <v>0</v>
      </c>
      <c r="J220" s="2663">
        <f>$E220-SUMIF('11.2. Нови активи отч.год.'!$B$155:$B$175,$B220,'11.2. Нови активи отч.год.'!$E$155:$E$175)+SUMIF('11.2. Нови активи отч.год.'!$B$155:$B$175,$B220,'11.2. Нови активи отч.год.'!J$155:J$175)</f>
        <v>0</v>
      </c>
      <c r="K220" s="2664">
        <f>$E220-SUMIF('11.2. Нови активи отч.год.'!$B$155:$B$175,$B220,'11.2. Нови активи отч.год.'!$E$155:$E$175)+SUMIF('11.2. Нови активи отч.год.'!$B$155:$B$175,$B220,'11.2. Нови активи отч.год.'!K$155:K$175)</f>
        <v>0</v>
      </c>
      <c r="L220" s="2169"/>
      <c r="M220" s="2662">
        <f>$L220-SUMIF('11.2. Нови активи отч.год.'!$B$155:$B$175,$B220,'11.2. Нови активи отч.год.'!$L$155:$L$175)+SUMIF('11.2. Нови активи отч.год.'!$B$155:$B$175,$B220,'11.2. Нови активи отч.год.'!M$155:M$175)</f>
        <v>0</v>
      </c>
      <c r="N220" s="2663">
        <f>$L220-SUMIF('11.2. Нови активи отч.год.'!$B$155:$B$175,$B220,'11.2. Нови активи отч.год.'!$L$155:$L$175)+SUMIF('11.2. Нови активи отч.год.'!$B$155:$B$175,$B220,'11.2. Нови активи отч.год.'!N$155:N$175)</f>
        <v>0</v>
      </c>
      <c r="O220" s="2663">
        <f>$L220-SUMIF('11.2. Нови активи отч.год.'!$B$155:$B$175,$B220,'11.2. Нови активи отч.год.'!$L$155:$L$175)+SUMIF('11.2. Нови активи отч.год.'!$B$155:$B$175,$B220,'11.2. Нови активи отч.год.'!O$155:O$175)</f>
        <v>0</v>
      </c>
      <c r="P220" s="2663">
        <f>$L220-SUMIF('11.2. Нови активи отч.год.'!$B$155:$B$175,$B220,'11.2. Нови активи отч.год.'!$L$155:$L$175)+SUMIF('11.2. Нови активи отч.год.'!$B$155:$B$175,$B220,'11.2. Нови активи отч.год.'!P$155:P$175)</f>
        <v>0</v>
      </c>
      <c r="Q220" s="2663">
        <f>$L220-SUMIF('11.2. Нови активи отч.год.'!$B$155:$B$175,$B220,'11.2. Нови активи отч.год.'!$L$155:$L$175)+SUMIF('11.2. Нови активи отч.год.'!$B$155:$B$175,$B220,'11.2. Нови активи отч.год.'!Q$155:Q$175)</f>
        <v>0</v>
      </c>
      <c r="R220" s="2664">
        <f>$L220-SUMIF('11.2. Нови активи отч.год.'!$B$155:$B$175,$B220,'11.2. Нови активи отч.год.'!$L$155:$L$175)+SUMIF('11.2. Нови активи отч.год.'!$B$155:$B$175,$B220,'11.2. Нови активи отч.год.'!R$155:R$175)</f>
        <v>0</v>
      </c>
      <c r="S220" s="2169"/>
      <c r="T220" s="2662">
        <f>$S220-SUMIF('11.2. Нови активи отч.год.'!$B$155:$B$175,$B220,'11.2. Нови активи отч.год.'!$S$155:$S$175)+SUMIF('11.2. Нови активи отч.год.'!$B$155:$B$175,$B220,'11.2. Нови активи отч.год.'!T$155:T$175)</f>
        <v>0</v>
      </c>
      <c r="U220" s="2663">
        <f>$S220-SUMIF('11.2. Нови активи отч.год.'!$B$155:$B$175,$B220,'11.2. Нови активи отч.год.'!$S$155:$S$175)+SUMIF('11.2. Нови активи отч.год.'!$B$155:$B$175,$B220,'11.2. Нови активи отч.год.'!U$155:U$175)</f>
        <v>0</v>
      </c>
      <c r="V220" s="2663">
        <f>$S220-SUMIF('11.2. Нови активи отч.год.'!$B$155:$B$175,$B220,'11.2. Нови активи отч.год.'!$S$155:$S$175)+SUMIF('11.2. Нови активи отч.год.'!$B$155:$B$175,$B220,'11.2. Нови активи отч.год.'!V$155:V$175)</f>
        <v>0</v>
      </c>
      <c r="W220" s="2663">
        <f>$S220-SUMIF('11.2. Нови активи отч.год.'!$B$155:$B$175,$B220,'11.2. Нови активи отч.год.'!$S$155:$S$175)+SUMIF('11.2. Нови активи отч.год.'!$B$155:$B$175,$B220,'11.2. Нови активи отч.год.'!W$155:W$175)</f>
        <v>0</v>
      </c>
      <c r="X220" s="2663">
        <f>$S220-SUMIF('11.2. Нови активи отч.год.'!$B$155:$B$175,$B220,'11.2. Нови активи отч.год.'!$S$155:$S$175)+SUMIF('11.2. Нови активи отч.год.'!$B$155:$B$175,$B220,'11.2. Нови активи отч.год.'!X$155:X$175)</f>
        <v>0</v>
      </c>
      <c r="Y220" s="2664">
        <f>$S220-SUMIF('11.2. Нови активи отч.год.'!$B$155:$B$175,$B220,'11.2. Нови активи отч.год.'!$S$155:$S$175)+SUMIF('11.2. Нови активи отч.год.'!$B$155:$B$175,$B220,'11.2. Нови активи отч.год.'!Y$155:Y$175)</f>
        <v>0</v>
      </c>
      <c r="Z220" s="1601"/>
      <c r="AA220" s="1623"/>
      <c r="AB220" s="1647"/>
    </row>
    <row r="221" spans="1:28" s="1563" customFormat="1">
      <c r="A221" s="1594">
        <v>8</v>
      </c>
      <c r="B221" s="1595" t="s">
        <v>969</v>
      </c>
      <c r="C221" s="1596">
        <v>0.1</v>
      </c>
      <c r="D221" s="1546" t="s">
        <v>966</v>
      </c>
      <c r="E221" s="2169">
        <v>59</v>
      </c>
      <c r="F221" s="2662">
        <f>$E221-SUMIF('11.2. Нови активи отч.год.'!$B$155:$B$175,$B221,'11.2. Нови активи отч.год.'!$E$155:$E$175)+SUMIF('11.2. Нови активи отч.год.'!$B$155:$B$175,$B221,'11.2. Нови активи отч.год.'!F$155:F$175)</f>
        <v>59</v>
      </c>
      <c r="G221" s="2663">
        <f>$E221-SUMIF('11.2. Нови активи отч.год.'!$B$155:$B$175,$B221,'11.2. Нови активи отч.год.'!$E$155:$E$175)+SUMIF('11.2. Нови активи отч.год.'!$B$155:$B$175,$B221,'11.2. Нови активи отч.год.'!G$155:G$175)</f>
        <v>79.5</v>
      </c>
      <c r="H221" s="2663">
        <f>$E221-SUMIF('11.2. Нови активи отч.год.'!$B$155:$B$175,$B221,'11.2. Нови активи отч.год.'!$E$155:$E$175)+SUMIF('11.2. Нови активи отч.год.'!$B$155:$B$175,$B221,'11.2. Нови активи отч.год.'!H$155:H$175)</f>
        <v>79.5</v>
      </c>
      <c r="I221" s="2663">
        <f>$E221-SUMIF('11.2. Нови активи отч.год.'!$B$155:$B$175,$B221,'11.2. Нови активи отч.год.'!$E$155:$E$175)+SUMIF('11.2. Нови активи отч.год.'!$B$155:$B$175,$B221,'11.2. Нови активи отч.год.'!I$155:I$175)</f>
        <v>41.5</v>
      </c>
      <c r="J221" s="2663">
        <f>$E221-SUMIF('11.2. Нови активи отч.год.'!$B$155:$B$175,$B221,'11.2. Нови активи отч.год.'!$E$155:$E$175)+SUMIF('11.2. Нови активи отч.год.'!$B$155:$B$175,$B221,'11.2. Нови активи отч.год.'!J$155:J$175)</f>
        <v>20.5</v>
      </c>
      <c r="K221" s="2664">
        <f>$E221-SUMIF('11.2. Нови активи отч.год.'!$B$155:$B$175,$B221,'11.2. Нови активи отч.год.'!$E$155:$E$175)+SUMIF('11.2. Нови активи отч.год.'!$B$155:$B$175,$B221,'11.2. Нови активи отч.год.'!K$155:K$175)</f>
        <v>20.5</v>
      </c>
      <c r="L221" s="2169"/>
      <c r="M221" s="2662">
        <f>$L221-SUMIF('11.2. Нови активи отч.год.'!$B$155:$B$175,$B221,'11.2. Нови активи отч.год.'!$L$155:$L$175)+SUMIF('11.2. Нови активи отч.год.'!$B$155:$B$175,$B221,'11.2. Нови активи отч.год.'!M$155:M$175)</f>
        <v>0</v>
      </c>
      <c r="N221" s="2663">
        <f>$L221-SUMIF('11.2. Нови активи отч.год.'!$B$155:$B$175,$B221,'11.2. Нови активи отч.год.'!$L$155:$L$175)+SUMIF('11.2. Нови активи отч.год.'!$B$155:$B$175,$B221,'11.2. Нови активи отч.год.'!N$155:N$175)</f>
        <v>0</v>
      </c>
      <c r="O221" s="2663">
        <f>$L221-SUMIF('11.2. Нови активи отч.год.'!$B$155:$B$175,$B221,'11.2. Нови активи отч.год.'!$L$155:$L$175)+SUMIF('11.2. Нови активи отч.год.'!$B$155:$B$175,$B221,'11.2. Нови активи отч.год.'!O$155:O$175)</f>
        <v>0</v>
      </c>
      <c r="P221" s="2663">
        <f>$L221-SUMIF('11.2. Нови активи отч.год.'!$B$155:$B$175,$B221,'11.2. Нови активи отч.год.'!$L$155:$L$175)+SUMIF('11.2. Нови активи отч.год.'!$B$155:$B$175,$B221,'11.2. Нови активи отч.год.'!P$155:P$175)</f>
        <v>0</v>
      </c>
      <c r="Q221" s="2663">
        <f>$L221-SUMIF('11.2. Нови активи отч.год.'!$B$155:$B$175,$B221,'11.2. Нови активи отч.год.'!$L$155:$L$175)+SUMIF('11.2. Нови активи отч.год.'!$B$155:$B$175,$B221,'11.2. Нови активи отч.год.'!Q$155:Q$175)</f>
        <v>0</v>
      </c>
      <c r="R221" s="2664">
        <f>$L221-SUMIF('11.2. Нови активи отч.год.'!$B$155:$B$175,$B221,'11.2. Нови активи отч.год.'!$L$155:$L$175)+SUMIF('11.2. Нови активи отч.год.'!$B$155:$B$175,$B221,'11.2. Нови активи отч.год.'!R$155:R$175)</f>
        <v>0</v>
      </c>
      <c r="S221" s="2169"/>
      <c r="T221" s="2662">
        <f>$S221-SUMIF('11.2. Нови активи отч.год.'!$B$155:$B$175,$B221,'11.2. Нови активи отч.год.'!$S$155:$S$175)+SUMIF('11.2. Нови активи отч.год.'!$B$155:$B$175,$B221,'11.2. Нови активи отч.год.'!T$155:T$175)</f>
        <v>0</v>
      </c>
      <c r="U221" s="2663">
        <f>$S221-SUMIF('11.2. Нови активи отч.год.'!$B$155:$B$175,$B221,'11.2. Нови активи отч.год.'!$S$155:$S$175)+SUMIF('11.2. Нови активи отч.год.'!$B$155:$B$175,$B221,'11.2. Нови активи отч.год.'!U$155:U$175)</f>
        <v>0</v>
      </c>
      <c r="V221" s="2663">
        <f>$S221-SUMIF('11.2. Нови активи отч.год.'!$B$155:$B$175,$B221,'11.2. Нови активи отч.год.'!$S$155:$S$175)+SUMIF('11.2. Нови активи отч.год.'!$B$155:$B$175,$B221,'11.2. Нови активи отч.год.'!V$155:V$175)</f>
        <v>0</v>
      </c>
      <c r="W221" s="2663">
        <f>$S221-SUMIF('11.2. Нови активи отч.год.'!$B$155:$B$175,$B221,'11.2. Нови активи отч.год.'!$S$155:$S$175)+SUMIF('11.2. Нови активи отч.год.'!$B$155:$B$175,$B221,'11.2. Нови активи отч.год.'!W$155:W$175)</f>
        <v>0</v>
      </c>
      <c r="X221" s="2663">
        <f>$S221-SUMIF('11.2. Нови активи отч.год.'!$B$155:$B$175,$B221,'11.2. Нови активи отч.год.'!$S$155:$S$175)+SUMIF('11.2. Нови активи отч.год.'!$B$155:$B$175,$B221,'11.2. Нови активи отч.год.'!X$155:X$175)</f>
        <v>0</v>
      </c>
      <c r="Y221" s="2664">
        <f>$S221-SUMIF('11.2. Нови активи отч.год.'!$B$155:$B$175,$B221,'11.2. Нови активи отч.год.'!$S$155:$S$175)+SUMIF('11.2. Нови активи отч.год.'!$B$155:$B$175,$B221,'11.2. Нови активи отч.год.'!Y$155:Y$175)</f>
        <v>0</v>
      </c>
      <c r="Z221" s="1601"/>
      <c r="AA221" s="1623"/>
      <c r="AB221" s="1647"/>
    </row>
    <row r="222" spans="1:28" s="1563" customFormat="1">
      <c r="A222" s="1650">
        <v>9</v>
      </c>
      <c r="B222" s="1595">
        <v>911306</v>
      </c>
      <c r="C222" s="1596">
        <v>0.1</v>
      </c>
      <c r="D222" s="1546" t="s">
        <v>1471</v>
      </c>
      <c r="E222" s="2169">
        <v>22</v>
      </c>
      <c r="F222" s="2662">
        <f>$E222-SUMIF('11.2. Нови активи отч.год.'!$B$155:$B$175,$B222,'11.2. Нови активи отч.год.'!$E$155:$E$175)+SUMIF('11.2. Нови активи отч.год.'!$B$155:$B$175,$B222,'11.2. Нови активи отч.год.'!F$155:F$175)</f>
        <v>22</v>
      </c>
      <c r="G222" s="2663">
        <f>$E222-SUMIF('11.2. Нови активи отч.год.'!$B$155:$B$175,$B222,'11.2. Нови активи отч.год.'!$E$155:$E$175)+SUMIF('11.2. Нови активи отч.год.'!$B$155:$B$175,$B222,'11.2. Нови активи отч.год.'!G$155:G$175)</f>
        <v>22</v>
      </c>
      <c r="H222" s="2663">
        <f>$E222-SUMIF('11.2. Нови активи отч.год.'!$B$155:$B$175,$B222,'11.2. Нови активи отч.год.'!$E$155:$E$175)+SUMIF('11.2. Нови активи отч.год.'!$B$155:$B$175,$B222,'11.2. Нови активи отч.год.'!H$155:H$175)</f>
        <v>22</v>
      </c>
      <c r="I222" s="2663">
        <f>$E222-SUMIF('11.2. Нови активи отч.год.'!$B$155:$B$175,$B222,'11.2. Нови активи отч.год.'!$E$155:$E$175)+SUMIF('11.2. Нови активи отч.год.'!$B$155:$B$175,$B222,'11.2. Нови активи отч.год.'!I$155:I$175)</f>
        <v>5</v>
      </c>
      <c r="J222" s="2663">
        <f>$E222-SUMIF('11.2. Нови активи отч.год.'!$B$155:$B$175,$B222,'11.2. Нови активи отч.год.'!$E$155:$E$175)+SUMIF('11.2. Нови активи отч.год.'!$B$155:$B$175,$B222,'11.2. Нови активи отч.год.'!J$155:J$175)</f>
        <v>0</v>
      </c>
      <c r="K222" s="2664">
        <f>$E222-SUMIF('11.2. Нови активи отч.год.'!$B$155:$B$175,$B222,'11.2. Нови активи отч.год.'!$E$155:$E$175)+SUMIF('11.2. Нови активи отч.год.'!$B$155:$B$175,$B222,'11.2. Нови активи отч.год.'!K$155:K$175)</f>
        <v>0</v>
      </c>
      <c r="L222" s="2169"/>
      <c r="M222" s="2662">
        <f>$L222-SUMIF('11.2. Нови активи отч.год.'!$B$155:$B$175,$B222,'11.2. Нови активи отч.год.'!$L$155:$L$175)+SUMIF('11.2. Нови активи отч.год.'!$B$155:$B$175,$B222,'11.2. Нови активи отч.год.'!M$155:M$175)</f>
        <v>0</v>
      </c>
      <c r="N222" s="2663">
        <f>$L222-SUMIF('11.2. Нови активи отч.год.'!$B$155:$B$175,$B222,'11.2. Нови активи отч.год.'!$L$155:$L$175)+SUMIF('11.2. Нови активи отч.год.'!$B$155:$B$175,$B222,'11.2. Нови активи отч.год.'!N$155:N$175)</f>
        <v>0</v>
      </c>
      <c r="O222" s="2663">
        <f>$L222-SUMIF('11.2. Нови активи отч.год.'!$B$155:$B$175,$B222,'11.2. Нови активи отч.год.'!$L$155:$L$175)+SUMIF('11.2. Нови активи отч.год.'!$B$155:$B$175,$B222,'11.2. Нови активи отч.год.'!O$155:O$175)</f>
        <v>0</v>
      </c>
      <c r="P222" s="2663">
        <f>$L222-SUMIF('11.2. Нови активи отч.год.'!$B$155:$B$175,$B222,'11.2. Нови активи отч.год.'!$L$155:$L$175)+SUMIF('11.2. Нови активи отч.год.'!$B$155:$B$175,$B222,'11.2. Нови активи отч.год.'!P$155:P$175)</f>
        <v>0</v>
      </c>
      <c r="Q222" s="2663">
        <f>$L222-SUMIF('11.2. Нови активи отч.год.'!$B$155:$B$175,$B222,'11.2. Нови активи отч.год.'!$L$155:$L$175)+SUMIF('11.2. Нови активи отч.год.'!$B$155:$B$175,$B222,'11.2. Нови активи отч.год.'!Q$155:Q$175)</f>
        <v>0</v>
      </c>
      <c r="R222" s="2664">
        <f>$L222-SUMIF('11.2. Нови активи отч.год.'!$B$155:$B$175,$B222,'11.2. Нови активи отч.год.'!$L$155:$L$175)+SUMIF('11.2. Нови активи отч.год.'!$B$155:$B$175,$B222,'11.2. Нови активи отч.год.'!R$155:R$175)</f>
        <v>0</v>
      </c>
      <c r="S222" s="2169"/>
      <c r="T222" s="2662">
        <f>$S222-SUMIF('11.2. Нови активи отч.год.'!$B$155:$B$175,$B222,'11.2. Нови активи отч.год.'!$S$155:$S$175)+SUMIF('11.2. Нови активи отч.год.'!$B$155:$B$175,$B222,'11.2. Нови активи отч.год.'!T$155:T$175)</f>
        <v>0</v>
      </c>
      <c r="U222" s="2663">
        <f>$S222-SUMIF('11.2. Нови активи отч.год.'!$B$155:$B$175,$B222,'11.2. Нови активи отч.год.'!$S$155:$S$175)+SUMIF('11.2. Нови активи отч.год.'!$B$155:$B$175,$B222,'11.2. Нови активи отч.год.'!U$155:U$175)</f>
        <v>0</v>
      </c>
      <c r="V222" s="2663">
        <f>$S222-SUMIF('11.2. Нови активи отч.год.'!$B$155:$B$175,$B222,'11.2. Нови активи отч.год.'!$S$155:$S$175)+SUMIF('11.2. Нови активи отч.год.'!$B$155:$B$175,$B222,'11.2. Нови активи отч.год.'!V$155:V$175)</f>
        <v>0</v>
      </c>
      <c r="W222" s="2663">
        <f>$S222-SUMIF('11.2. Нови активи отч.год.'!$B$155:$B$175,$B222,'11.2. Нови активи отч.год.'!$S$155:$S$175)+SUMIF('11.2. Нови активи отч.год.'!$B$155:$B$175,$B222,'11.2. Нови активи отч.год.'!W$155:W$175)</f>
        <v>0</v>
      </c>
      <c r="X222" s="2663">
        <f>$S222-SUMIF('11.2. Нови активи отч.год.'!$B$155:$B$175,$B222,'11.2. Нови активи отч.год.'!$S$155:$S$175)+SUMIF('11.2. Нови активи отч.год.'!$B$155:$B$175,$B222,'11.2. Нови активи отч.год.'!X$155:X$175)</f>
        <v>0</v>
      </c>
      <c r="Y222" s="2664">
        <f>$S222-SUMIF('11.2. Нови активи отч.год.'!$B$155:$B$175,$B222,'11.2. Нови активи отч.год.'!$S$155:$S$175)+SUMIF('11.2. Нови активи отч.год.'!$B$155:$B$175,$B222,'11.2. Нови активи отч.год.'!Y$155:Y$175)</f>
        <v>0</v>
      </c>
      <c r="Z222" s="1601"/>
      <c r="AA222" s="1623"/>
      <c r="AB222" s="1647"/>
    </row>
    <row r="223" spans="1:28" s="1563" customFormat="1">
      <c r="A223" s="1650">
        <v>10</v>
      </c>
      <c r="B223" s="1595">
        <v>91140101</v>
      </c>
      <c r="C223" s="1649">
        <v>0.1</v>
      </c>
      <c r="D223" s="1558" t="s">
        <v>1442</v>
      </c>
      <c r="E223" s="2169"/>
      <c r="F223" s="2662">
        <f>$E223-SUMIF('11.2. Нови активи отч.год.'!$B$155:$B$175,$B223,'11.2. Нови активи отч.год.'!$E$155:$E$175)+SUMIF('11.2. Нови активи отч.год.'!$B$155:$B$175,$B223,'11.2. Нови активи отч.год.'!F$155:F$175)</f>
        <v>0</v>
      </c>
      <c r="G223" s="2663">
        <f>$E223-SUMIF('11.2. Нови активи отч.год.'!$B$155:$B$175,$B223,'11.2. Нови активи отч.год.'!$E$155:$E$175)+SUMIF('11.2. Нови активи отч.год.'!$B$155:$B$175,$B223,'11.2. Нови активи отч.год.'!G$155:G$175)</f>
        <v>0</v>
      </c>
      <c r="H223" s="2663">
        <f>$E223-SUMIF('11.2. Нови активи отч.год.'!$B$155:$B$175,$B223,'11.2. Нови активи отч.год.'!$E$155:$E$175)+SUMIF('11.2. Нови активи отч.год.'!$B$155:$B$175,$B223,'11.2. Нови активи отч.год.'!H$155:H$175)</f>
        <v>0</v>
      </c>
      <c r="I223" s="2663">
        <f>$E223-SUMIF('11.2. Нови активи отч.год.'!$B$155:$B$175,$B223,'11.2. Нови активи отч.год.'!$E$155:$E$175)+SUMIF('11.2. Нови активи отч.год.'!$B$155:$B$175,$B223,'11.2. Нови активи отч.год.'!I$155:I$175)</f>
        <v>0</v>
      </c>
      <c r="J223" s="2663">
        <f>$E223-SUMIF('11.2. Нови активи отч.год.'!$B$155:$B$175,$B223,'11.2. Нови активи отч.год.'!$E$155:$E$175)+SUMIF('11.2. Нови активи отч.год.'!$B$155:$B$175,$B223,'11.2. Нови активи отч.год.'!J$155:J$175)</f>
        <v>0</v>
      </c>
      <c r="K223" s="2664">
        <f>$E223-SUMIF('11.2. Нови активи отч.год.'!$B$155:$B$175,$B223,'11.2. Нови активи отч.год.'!$E$155:$E$175)+SUMIF('11.2. Нови активи отч.год.'!$B$155:$B$175,$B223,'11.2. Нови активи отч.год.'!K$155:K$175)</f>
        <v>0</v>
      </c>
      <c r="L223" s="2169"/>
      <c r="M223" s="2662">
        <f>$L223-SUMIF('11.2. Нови активи отч.год.'!$B$155:$B$175,$B223,'11.2. Нови активи отч.год.'!$L$155:$L$175)+SUMIF('11.2. Нови активи отч.год.'!$B$155:$B$175,$B223,'11.2. Нови активи отч.год.'!M$155:M$175)</f>
        <v>0</v>
      </c>
      <c r="N223" s="2663">
        <f>$L223-SUMIF('11.2. Нови активи отч.год.'!$B$155:$B$175,$B223,'11.2. Нови активи отч.год.'!$L$155:$L$175)+SUMIF('11.2. Нови активи отч.год.'!$B$155:$B$175,$B223,'11.2. Нови активи отч.год.'!N$155:N$175)</f>
        <v>0</v>
      </c>
      <c r="O223" s="2663">
        <f>$L223-SUMIF('11.2. Нови активи отч.год.'!$B$155:$B$175,$B223,'11.2. Нови активи отч.год.'!$L$155:$L$175)+SUMIF('11.2. Нови активи отч.год.'!$B$155:$B$175,$B223,'11.2. Нови активи отч.год.'!O$155:O$175)</f>
        <v>0</v>
      </c>
      <c r="P223" s="2663">
        <f>$L223-SUMIF('11.2. Нови активи отч.год.'!$B$155:$B$175,$B223,'11.2. Нови активи отч.год.'!$L$155:$L$175)+SUMIF('11.2. Нови активи отч.год.'!$B$155:$B$175,$B223,'11.2. Нови активи отч.год.'!P$155:P$175)</f>
        <v>0</v>
      </c>
      <c r="Q223" s="2663">
        <f>$L223-SUMIF('11.2. Нови активи отч.год.'!$B$155:$B$175,$B223,'11.2. Нови активи отч.год.'!$L$155:$L$175)+SUMIF('11.2. Нови активи отч.год.'!$B$155:$B$175,$B223,'11.2. Нови активи отч.год.'!Q$155:Q$175)</f>
        <v>0</v>
      </c>
      <c r="R223" s="2664">
        <f>$L223-SUMIF('11.2. Нови активи отч.год.'!$B$155:$B$175,$B223,'11.2. Нови активи отч.год.'!$L$155:$L$175)+SUMIF('11.2. Нови активи отч.год.'!$B$155:$B$175,$B223,'11.2. Нови активи отч.год.'!R$155:R$175)</f>
        <v>0</v>
      </c>
      <c r="S223" s="2169"/>
      <c r="T223" s="2662">
        <f>$S223-SUMIF('11.2. Нови активи отч.год.'!$B$155:$B$175,$B223,'11.2. Нови активи отч.год.'!$S$155:$S$175)+SUMIF('11.2. Нови активи отч.год.'!$B$155:$B$175,$B223,'11.2. Нови активи отч.год.'!T$155:T$175)</f>
        <v>0</v>
      </c>
      <c r="U223" s="2663">
        <f>$S223-SUMIF('11.2. Нови активи отч.год.'!$B$155:$B$175,$B223,'11.2. Нови активи отч.год.'!$S$155:$S$175)+SUMIF('11.2. Нови активи отч.год.'!$B$155:$B$175,$B223,'11.2. Нови активи отч.год.'!U$155:U$175)</f>
        <v>0</v>
      </c>
      <c r="V223" s="2663">
        <f>$S223-SUMIF('11.2. Нови активи отч.год.'!$B$155:$B$175,$B223,'11.2. Нови активи отч.год.'!$S$155:$S$175)+SUMIF('11.2. Нови активи отч.год.'!$B$155:$B$175,$B223,'11.2. Нови активи отч.год.'!V$155:V$175)</f>
        <v>0</v>
      </c>
      <c r="W223" s="2663">
        <f>$S223-SUMIF('11.2. Нови активи отч.год.'!$B$155:$B$175,$B223,'11.2. Нови активи отч.год.'!$S$155:$S$175)+SUMIF('11.2. Нови активи отч.год.'!$B$155:$B$175,$B223,'11.2. Нови активи отч.год.'!W$155:W$175)</f>
        <v>0</v>
      </c>
      <c r="X223" s="2663">
        <f>$S223-SUMIF('11.2. Нови активи отч.год.'!$B$155:$B$175,$B223,'11.2. Нови активи отч.год.'!$S$155:$S$175)+SUMIF('11.2. Нови активи отч.год.'!$B$155:$B$175,$B223,'11.2. Нови активи отч.год.'!X$155:X$175)</f>
        <v>0</v>
      </c>
      <c r="Y223" s="2664">
        <f>$S223-SUMIF('11.2. Нови активи отч.год.'!$B$155:$B$175,$B223,'11.2. Нови активи отч.год.'!$S$155:$S$175)+SUMIF('11.2. Нови активи отч.год.'!$B$155:$B$175,$B223,'11.2. Нови активи отч.год.'!Y$155:Y$175)</f>
        <v>0</v>
      </c>
      <c r="Z223" s="1601"/>
      <c r="AA223" s="1623"/>
      <c r="AB223" s="1647"/>
    </row>
    <row r="224" spans="1:28" s="1563" customFormat="1">
      <c r="A224" s="1650">
        <v>11</v>
      </c>
      <c r="B224" s="1595">
        <v>91140102</v>
      </c>
      <c r="C224" s="1649">
        <v>0.04</v>
      </c>
      <c r="D224" s="1558" t="s">
        <v>604</v>
      </c>
      <c r="E224" s="2169"/>
      <c r="F224" s="2662">
        <f>$E224-SUMIF('11.2. Нови активи отч.год.'!$B$155:$B$175,$B224,'11.2. Нови активи отч.год.'!$E$155:$E$175)+SUMIF('11.2. Нови активи отч.год.'!$B$155:$B$175,$B224,'11.2. Нови активи отч.год.'!F$155:F$175)</f>
        <v>0</v>
      </c>
      <c r="G224" s="2663">
        <f>$E224-SUMIF('11.2. Нови активи отч.год.'!$B$155:$B$175,$B224,'11.2. Нови активи отч.год.'!$E$155:$E$175)+SUMIF('11.2. Нови активи отч.год.'!$B$155:$B$175,$B224,'11.2. Нови активи отч.год.'!G$155:G$175)</f>
        <v>0</v>
      </c>
      <c r="H224" s="2663">
        <f>$E224-SUMIF('11.2. Нови активи отч.год.'!$B$155:$B$175,$B224,'11.2. Нови активи отч.год.'!$E$155:$E$175)+SUMIF('11.2. Нови активи отч.год.'!$B$155:$B$175,$B224,'11.2. Нови активи отч.год.'!H$155:H$175)</f>
        <v>0</v>
      </c>
      <c r="I224" s="2663">
        <f>$E224-SUMIF('11.2. Нови активи отч.год.'!$B$155:$B$175,$B224,'11.2. Нови активи отч.год.'!$E$155:$E$175)+SUMIF('11.2. Нови активи отч.год.'!$B$155:$B$175,$B224,'11.2. Нови активи отч.год.'!I$155:I$175)</f>
        <v>0</v>
      </c>
      <c r="J224" s="2663">
        <f>$E224-SUMIF('11.2. Нови активи отч.год.'!$B$155:$B$175,$B224,'11.2. Нови активи отч.год.'!$E$155:$E$175)+SUMIF('11.2. Нови активи отч.год.'!$B$155:$B$175,$B224,'11.2. Нови активи отч.год.'!J$155:J$175)</f>
        <v>0</v>
      </c>
      <c r="K224" s="2664">
        <f>$E224-SUMIF('11.2. Нови активи отч.год.'!$B$155:$B$175,$B224,'11.2. Нови активи отч.год.'!$E$155:$E$175)+SUMIF('11.2. Нови активи отч.год.'!$B$155:$B$175,$B224,'11.2. Нови активи отч.год.'!K$155:K$175)</f>
        <v>0</v>
      </c>
      <c r="L224" s="2169"/>
      <c r="M224" s="2662">
        <f>$L224-SUMIF('11.2. Нови активи отч.год.'!$B$155:$B$175,$B224,'11.2. Нови активи отч.год.'!$L$155:$L$175)+SUMIF('11.2. Нови активи отч.год.'!$B$155:$B$175,$B224,'11.2. Нови активи отч.год.'!M$155:M$175)</f>
        <v>0</v>
      </c>
      <c r="N224" s="2663">
        <f>$L224-SUMIF('11.2. Нови активи отч.год.'!$B$155:$B$175,$B224,'11.2. Нови активи отч.год.'!$L$155:$L$175)+SUMIF('11.2. Нови активи отч.год.'!$B$155:$B$175,$B224,'11.2. Нови активи отч.год.'!N$155:N$175)</f>
        <v>0</v>
      </c>
      <c r="O224" s="2663">
        <f>$L224-SUMIF('11.2. Нови активи отч.год.'!$B$155:$B$175,$B224,'11.2. Нови активи отч.год.'!$L$155:$L$175)+SUMIF('11.2. Нови активи отч.год.'!$B$155:$B$175,$B224,'11.2. Нови активи отч.год.'!O$155:O$175)</f>
        <v>0</v>
      </c>
      <c r="P224" s="2663">
        <f>$L224-SUMIF('11.2. Нови активи отч.год.'!$B$155:$B$175,$B224,'11.2. Нови активи отч.год.'!$L$155:$L$175)+SUMIF('11.2. Нови активи отч.год.'!$B$155:$B$175,$B224,'11.2. Нови активи отч.год.'!P$155:P$175)</f>
        <v>0</v>
      </c>
      <c r="Q224" s="2663">
        <f>$L224-SUMIF('11.2. Нови активи отч.год.'!$B$155:$B$175,$B224,'11.2. Нови активи отч.год.'!$L$155:$L$175)+SUMIF('11.2. Нови активи отч.год.'!$B$155:$B$175,$B224,'11.2. Нови активи отч.год.'!Q$155:Q$175)</f>
        <v>0</v>
      </c>
      <c r="R224" s="2664">
        <f>$L224-SUMIF('11.2. Нови активи отч.год.'!$B$155:$B$175,$B224,'11.2. Нови активи отч.год.'!$L$155:$L$175)+SUMIF('11.2. Нови активи отч.год.'!$B$155:$B$175,$B224,'11.2. Нови активи отч.год.'!R$155:R$175)</f>
        <v>0</v>
      </c>
      <c r="S224" s="2169"/>
      <c r="T224" s="2662">
        <f>$S224-SUMIF('11.2. Нови активи отч.год.'!$B$155:$B$175,$B224,'11.2. Нови активи отч.год.'!$S$155:$S$175)+SUMIF('11.2. Нови активи отч.год.'!$B$155:$B$175,$B224,'11.2. Нови активи отч.год.'!T$155:T$175)</f>
        <v>0</v>
      </c>
      <c r="U224" s="2663">
        <f>$S224-SUMIF('11.2. Нови активи отч.год.'!$B$155:$B$175,$B224,'11.2. Нови активи отч.год.'!$S$155:$S$175)+SUMIF('11.2. Нови активи отч.год.'!$B$155:$B$175,$B224,'11.2. Нови активи отч.год.'!U$155:U$175)</f>
        <v>0</v>
      </c>
      <c r="V224" s="2663">
        <f>$S224-SUMIF('11.2. Нови активи отч.год.'!$B$155:$B$175,$B224,'11.2. Нови активи отч.год.'!$S$155:$S$175)+SUMIF('11.2. Нови активи отч.год.'!$B$155:$B$175,$B224,'11.2. Нови активи отч.год.'!V$155:V$175)</f>
        <v>0</v>
      </c>
      <c r="W224" s="2663">
        <f>$S224-SUMIF('11.2. Нови активи отч.год.'!$B$155:$B$175,$B224,'11.2. Нови активи отч.год.'!$S$155:$S$175)+SUMIF('11.2. Нови активи отч.год.'!$B$155:$B$175,$B224,'11.2. Нови активи отч.год.'!W$155:W$175)</f>
        <v>0</v>
      </c>
      <c r="X224" s="2663">
        <f>$S224-SUMIF('11.2. Нови активи отч.год.'!$B$155:$B$175,$B224,'11.2. Нови активи отч.год.'!$S$155:$S$175)+SUMIF('11.2. Нови активи отч.год.'!$B$155:$B$175,$B224,'11.2. Нови активи отч.год.'!X$155:X$175)</f>
        <v>0</v>
      </c>
      <c r="Y224" s="2664">
        <f>$S224-SUMIF('11.2. Нови активи отч.год.'!$B$155:$B$175,$B224,'11.2. Нови активи отч.год.'!$S$155:$S$175)+SUMIF('11.2. Нови активи отч.год.'!$B$155:$B$175,$B224,'11.2. Нови активи отч.год.'!Y$155:Y$175)</f>
        <v>0</v>
      </c>
      <c r="Z224" s="1601"/>
      <c r="AA224" s="1623"/>
      <c r="AB224" s="1647"/>
    </row>
    <row r="225" spans="1:28" s="1563" customFormat="1">
      <c r="A225" s="1650">
        <v>12</v>
      </c>
      <c r="B225" s="1595" t="s">
        <v>951</v>
      </c>
      <c r="C225" s="1596">
        <v>0.02</v>
      </c>
      <c r="D225" s="1544" t="s">
        <v>1007</v>
      </c>
      <c r="E225" s="2169"/>
      <c r="F225" s="2662">
        <f>$E225-SUMIF('11.2. Нови активи отч.год.'!$B$155:$B$175,$B225,'11.2. Нови активи отч.год.'!$E$155:$E$175)+SUMIF('11.2. Нови активи отч.год.'!$B$155:$B$175,$B225,'11.2. Нови активи отч.год.'!F$155:F$175)</f>
        <v>0</v>
      </c>
      <c r="G225" s="2663">
        <f>$E225-SUMIF('11.2. Нови активи отч.год.'!$B$155:$B$175,$B225,'11.2. Нови активи отч.год.'!$E$155:$E$175)+SUMIF('11.2. Нови активи отч.год.'!$B$155:$B$175,$B225,'11.2. Нови активи отч.год.'!G$155:G$175)</f>
        <v>0</v>
      </c>
      <c r="H225" s="2663">
        <f>$E225-SUMIF('11.2. Нови активи отч.год.'!$B$155:$B$175,$B225,'11.2. Нови активи отч.год.'!$E$155:$E$175)+SUMIF('11.2. Нови активи отч.год.'!$B$155:$B$175,$B225,'11.2. Нови активи отч.год.'!H$155:H$175)</f>
        <v>0</v>
      </c>
      <c r="I225" s="2663">
        <f>$E225-SUMIF('11.2. Нови активи отч.год.'!$B$155:$B$175,$B225,'11.2. Нови активи отч.год.'!$E$155:$E$175)+SUMIF('11.2. Нови активи отч.год.'!$B$155:$B$175,$B225,'11.2. Нови активи отч.год.'!I$155:I$175)</f>
        <v>0</v>
      </c>
      <c r="J225" s="2663">
        <f>$E225-SUMIF('11.2. Нови активи отч.год.'!$B$155:$B$175,$B225,'11.2. Нови активи отч.год.'!$E$155:$E$175)+SUMIF('11.2. Нови активи отч.год.'!$B$155:$B$175,$B225,'11.2. Нови активи отч.год.'!J$155:J$175)</f>
        <v>0</v>
      </c>
      <c r="K225" s="2664">
        <f>$E225-SUMIF('11.2. Нови активи отч.год.'!$B$155:$B$175,$B225,'11.2. Нови активи отч.год.'!$E$155:$E$175)+SUMIF('11.2. Нови активи отч.год.'!$B$155:$B$175,$B225,'11.2. Нови активи отч.год.'!K$155:K$175)</f>
        <v>0</v>
      </c>
      <c r="L225" s="2169"/>
      <c r="M225" s="2662">
        <f>$L225-SUMIF('11.2. Нови активи отч.год.'!$B$155:$B$175,$B225,'11.2. Нови активи отч.год.'!$L$155:$L$175)+SUMIF('11.2. Нови активи отч.год.'!$B$155:$B$175,$B225,'11.2. Нови активи отч.год.'!M$155:M$175)</f>
        <v>0</v>
      </c>
      <c r="N225" s="2663">
        <f>$L225-SUMIF('11.2. Нови активи отч.год.'!$B$155:$B$175,$B225,'11.2. Нови активи отч.год.'!$L$155:$L$175)+SUMIF('11.2. Нови активи отч.год.'!$B$155:$B$175,$B225,'11.2. Нови активи отч.год.'!N$155:N$175)</f>
        <v>0</v>
      </c>
      <c r="O225" s="2663">
        <f>$L225-SUMIF('11.2. Нови активи отч.год.'!$B$155:$B$175,$B225,'11.2. Нови активи отч.год.'!$L$155:$L$175)+SUMIF('11.2. Нови активи отч.год.'!$B$155:$B$175,$B225,'11.2. Нови активи отч.год.'!O$155:O$175)</f>
        <v>0</v>
      </c>
      <c r="P225" s="2663">
        <f>$L225-SUMIF('11.2. Нови активи отч.год.'!$B$155:$B$175,$B225,'11.2. Нови активи отч.год.'!$L$155:$L$175)+SUMIF('11.2. Нови активи отч.год.'!$B$155:$B$175,$B225,'11.2. Нови активи отч.год.'!P$155:P$175)</f>
        <v>0</v>
      </c>
      <c r="Q225" s="2663">
        <f>$L225-SUMIF('11.2. Нови активи отч.год.'!$B$155:$B$175,$B225,'11.2. Нови активи отч.год.'!$L$155:$L$175)+SUMIF('11.2. Нови активи отч.год.'!$B$155:$B$175,$B225,'11.2. Нови активи отч.год.'!Q$155:Q$175)</f>
        <v>0</v>
      </c>
      <c r="R225" s="2664">
        <f>$L225-SUMIF('11.2. Нови активи отч.год.'!$B$155:$B$175,$B225,'11.2. Нови активи отч.год.'!$L$155:$L$175)+SUMIF('11.2. Нови активи отч.год.'!$B$155:$B$175,$B225,'11.2. Нови активи отч.год.'!R$155:R$175)</f>
        <v>0</v>
      </c>
      <c r="S225" s="2169"/>
      <c r="T225" s="2662">
        <f>$S225-SUMIF('11.2. Нови активи отч.год.'!$B$155:$B$175,$B225,'11.2. Нови активи отч.год.'!$S$155:$S$175)+SUMIF('11.2. Нови активи отч.год.'!$B$155:$B$175,$B225,'11.2. Нови активи отч.год.'!T$155:T$175)</f>
        <v>0</v>
      </c>
      <c r="U225" s="2663">
        <f>$S225-SUMIF('11.2. Нови активи отч.год.'!$B$155:$B$175,$B225,'11.2. Нови активи отч.год.'!$S$155:$S$175)+SUMIF('11.2. Нови активи отч.год.'!$B$155:$B$175,$B225,'11.2. Нови активи отч.год.'!U$155:U$175)</f>
        <v>0</v>
      </c>
      <c r="V225" s="2663">
        <f>$S225-SUMIF('11.2. Нови активи отч.год.'!$B$155:$B$175,$B225,'11.2. Нови активи отч.год.'!$S$155:$S$175)+SUMIF('11.2. Нови активи отч.год.'!$B$155:$B$175,$B225,'11.2. Нови активи отч.год.'!V$155:V$175)</f>
        <v>0</v>
      </c>
      <c r="W225" s="2663">
        <f>$S225-SUMIF('11.2. Нови активи отч.год.'!$B$155:$B$175,$B225,'11.2. Нови активи отч.год.'!$S$155:$S$175)+SUMIF('11.2. Нови активи отч.год.'!$B$155:$B$175,$B225,'11.2. Нови активи отч.год.'!W$155:W$175)</f>
        <v>0</v>
      </c>
      <c r="X225" s="2663">
        <f>$S225-SUMIF('11.2. Нови активи отч.год.'!$B$155:$B$175,$B225,'11.2. Нови активи отч.год.'!$S$155:$S$175)+SUMIF('11.2. Нови активи отч.год.'!$B$155:$B$175,$B225,'11.2. Нови активи отч.год.'!X$155:X$175)</f>
        <v>0</v>
      </c>
      <c r="Y225" s="2664">
        <f>$S225-SUMIF('11.2. Нови активи отч.год.'!$B$155:$B$175,$B225,'11.2. Нови активи отч.год.'!$S$155:$S$175)+SUMIF('11.2. Нови активи отч.год.'!$B$155:$B$175,$B225,'11.2. Нови активи отч.год.'!Y$155:Y$175)</f>
        <v>0</v>
      </c>
      <c r="Z225" s="1601"/>
      <c r="AA225" s="1623"/>
      <c r="AB225" s="1647"/>
    </row>
    <row r="226" spans="1:28" s="1563" customFormat="1">
      <c r="A226" s="1650">
        <v>13</v>
      </c>
      <c r="B226" s="1595" t="s">
        <v>952</v>
      </c>
      <c r="C226" s="1596">
        <v>0.02</v>
      </c>
      <c r="D226" s="1544" t="s">
        <v>1008</v>
      </c>
      <c r="E226" s="2169">
        <v>97</v>
      </c>
      <c r="F226" s="2662">
        <f>$E226-SUMIF('11.2. Нови активи отч.год.'!$B$155:$B$175,$B226,'11.2. Нови активи отч.год.'!$E$155:$E$175)+SUMIF('11.2. Нови активи отч.год.'!$B$155:$B$175,$B226,'11.2. Нови активи отч.год.'!F$155:F$175)</f>
        <v>97</v>
      </c>
      <c r="G226" s="2663">
        <f>$E226-SUMIF('11.2. Нови активи отч.год.'!$B$155:$B$175,$B226,'11.2. Нови активи отч.год.'!$E$155:$E$175)+SUMIF('11.2. Нови активи отч.год.'!$B$155:$B$175,$B226,'11.2. Нови активи отч.год.'!G$155:G$175)</f>
        <v>97</v>
      </c>
      <c r="H226" s="2663">
        <f>$E226-SUMIF('11.2. Нови активи отч.год.'!$B$155:$B$175,$B226,'11.2. Нови активи отч.год.'!$E$155:$E$175)+SUMIF('11.2. Нови активи отч.год.'!$B$155:$B$175,$B226,'11.2. Нови активи отч.год.'!H$155:H$175)</f>
        <v>97</v>
      </c>
      <c r="I226" s="2663">
        <f>$E226-SUMIF('11.2. Нови активи отч.год.'!$B$155:$B$175,$B226,'11.2. Нови активи отч.год.'!$E$155:$E$175)+SUMIF('11.2. Нови активи отч.год.'!$B$155:$B$175,$B226,'11.2. Нови активи отч.год.'!I$155:I$175)</f>
        <v>97</v>
      </c>
      <c r="J226" s="2663">
        <f>$E226-SUMIF('11.2. Нови активи отч.год.'!$B$155:$B$175,$B226,'11.2. Нови активи отч.год.'!$E$155:$E$175)+SUMIF('11.2. Нови активи отч.год.'!$B$155:$B$175,$B226,'11.2. Нови активи отч.год.'!J$155:J$175)</f>
        <v>97</v>
      </c>
      <c r="K226" s="2664">
        <f>$E226-SUMIF('11.2. Нови активи отч.год.'!$B$155:$B$175,$B226,'11.2. Нови активи отч.год.'!$E$155:$E$175)+SUMIF('11.2. Нови активи отч.год.'!$B$155:$B$175,$B226,'11.2. Нови активи отч.год.'!K$155:K$175)</f>
        <v>97</v>
      </c>
      <c r="L226" s="2169"/>
      <c r="M226" s="2662">
        <f>$L226-SUMIF('11.2. Нови активи отч.год.'!$B$155:$B$175,$B226,'11.2. Нови активи отч.год.'!$L$155:$L$175)+SUMIF('11.2. Нови активи отч.год.'!$B$155:$B$175,$B226,'11.2. Нови активи отч.год.'!M$155:M$175)</f>
        <v>0</v>
      </c>
      <c r="N226" s="2663">
        <f>$L226-SUMIF('11.2. Нови активи отч.год.'!$B$155:$B$175,$B226,'11.2. Нови активи отч.год.'!$L$155:$L$175)+SUMIF('11.2. Нови активи отч.год.'!$B$155:$B$175,$B226,'11.2. Нови активи отч.год.'!N$155:N$175)</f>
        <v>0</v>
      </c>
      <c r="O226" s="2663">
        <f>$L226-SUMIF('11.2. Нови активи отч.год.'!$B$155:$B$175,$B226,'11.2. Нови активи отч.год.'!$L$155:$L$175)+SUMIF('11.2. Нови активи отч.год.'!$B$155:$B$175,$B226,'11.2. Нови активи отч.год.'!O$155:O$175)</f>
        <v>0</v>
      </c>
      <c r="P226" s="2663">
        <f>$L226-SUMIF('11.2. Нови активи отч.год.'!$B$155:$B$175,$B226,'11.2. Нови активи отч.год.'!$L$155:$L$175)+SUMIF('11.2. Нови активи отч.год.'!$B$155:$B$175,$B226,'11.2. Нови активи отч.год.'!P$155:P$175)</f>
        <v>0</v>
      </c>
      <c r="Q226" s="2663">
        <f>$L226-SUMIF('11.2. Нови активи отч.год.'!$B$155:$B$175,$B226,'11.2. Нови активи отч.год.'!$L$155:$L$175)+SUMIF('11.2. Нови активи отч.год.'!$B$155:$B$175,$B226,'11.2. Нови активи отч.год.'!Q$155:Q$175)</f>
        <v>0</v>
      </c>
      <c r="R226" s="2664">
        <f>$L226-SUMIF('11.2. Нови активи отч.год.'!$B$155:$B$175,$B226,'11.2. Нови активи отч.год.'!$L$155:$L$175)+SUMIF('11.2. Нови активи отч.год.'!$B$155:$B$175,$B226,'11.2. Нови активи отч.год.'!R$155:R$175)</f>
        <v>0</v>
      </c>
      <c r="S226" s="2169"/>
      <c r="T226" s="2662">
        <f>$S226-SUMIF('11.2. Нови активи отч.год.'!$B$155:$B$175,$B226,'11.2. Нови активи отч.год.'!$S$155:$S$175)+SUMIF('11.2. Нови активи отч.год.'!$B$155:$B$175,$B226,'11.2. Нови активи отч.год.'!T$155:T$175)</f>
        <v>0</v>
      </c>
      <c r="U226" s="2663">
        <f>$S226-SUMIF('11.2. Нови активи отч.год.'!$B$155:$B$175,$B226,'11.2. Нови активи отч.год.'!$S$155:$S$175)+SUMIF('11.2. Нови активи отч.год.'!$B$155:$B$175,$B226,'11.2. Нови активи отч.год.'!U$155:U$175)</f>
        <v>0</v>
      </c>
      <c r="V226" s="2663">
        <f>$S226-SUMIF('11.2. Нови активи отч.год.'!$B$155:$B$175,$B226,'11.2. Нови активи отч.год.'!$S$155:$S$175)+SUMIF('11.2. Нови активи отч.год.'!$B$155:$B$175,$B226,'11.2. Нови активи отч.год.'!V$155:V$175)</f>
        <v>0</v>
      </c>
      <c r="W226" s="2663">
        <f>$S226-SUMIF('11.2. Нови активи отч.год.'!$B$155:$B$175,$B226,'11.2. Нови активи отч.год.'!$S$155:$S$175)+SUMIF('11.2. Нови активи отч.год.'!$B$155:$B$175,$B226,'11.2. Нови активи отч.год.'!W$155:W$175)</f>
        <v>0</v>
      </c>
      <c r="X226" s="2663">
        <f>$S226-SUMIF('11.2. Нови активи отч.год.'!$B$155:$B$175,$B226,'11.2. Нови активи отч.год.'!$S$155:$S$175)+SUMIF('11.2. Нови активи отч.год.'!$B$155:$B$175,$B226,'11.2. Нови активи отч.год.'!X$155:X$175)</f>
        <v>0</v>
      </c>
      <c r="Y226" s="2664">
        <f>$S226-SUMIF('11.2. Нови активи отч.год.'!$B$155:$B$175,$B226,'11.2. Нови активи отч.год.'!$S$155:$S$175)+SUMIF('11.2. Нови активи отч.год.'!$B$155:$B$175,$B226,'11.2. Нови активи отч.год.'!Y$155:Y$175)</f>
        <v>0</v>
      </c>
      <c r="Z226" s="1601"/>
      <c r="AA226" s="1623"/>
      <c r="AB226" s="1647"/>
    </row>
    <row r="227" spans="1:28" s="1563" customFormat="1">
      <c r="A227" s="1650">
        <v>14</v>
      </c>
      <c r="B227" s="1595" t="s">
        <v>953</v>
      </c>
      <c r="C227" s="1596">
        <v>0.02</v>
      </c>
      <c r="D227" s="1544" t="s">
        <v>590</v>
      </c>
      <c r="E227" s="2169">
        <v>1</v>
      </c>
      <c r="F227" s="2662">
        <f>$E227-SUMIF('11.2. Нови активи отч.год.'!$B$155:$B$175,$B227,'11.2. Нови активи отч.год.'!$E$155:$E$175)+SUMIF('11.2. Нови активи отч.год.'!$B$155:$B$175,$B227,'11.2. Нови активи отч.год.'!F$155:F$175)</f>
        <v>1</v>
      </c>
      <c r="G227" s="2663">
        <f>$E227-SUMIF('11.2. Нови активи отч.год.'!$B$155:$B$175,$B227,'11.2. Нови активи отч.год.'!$E$155:$E$175)+SUMIF('11.2. Нови активи отч.год.'!$B$155:$B$175,$B227,'11.2. Нови активи отч.год.'!G$155:G$175)</f>
        <v>1</v>
      </c>
      <c r="H227" s="2663">
        <f>$E227-SUMIF('11.2. Нови активи отч.год.'!$B$155:$B$175,$B227,'11.2. Нови активи отч.год.'!$E$155:$E$175)+SUMIF('11.2. Нови активи отч.год.'!$B$155:$B$175,$B227,'11.2. Нови активи отч.год.'!H$155:H$175)</f>
        <v>1</v>
      </c>
      <c r="I227" s="2663">
        <f>$E227-SUMIF('11.2. Нови активи отч.год.'!$B$155:$B$175,$B227,'11.2. Нови активи отч.год.'!$E$155:$E$175)+SUMIF('11.2. Нови активи отч.год.'!$B$155:$B$175,$B227,'11.2. Нови активи отч.год.'!I$155:I$175)</f>
        <v>1</v>
      </c>
      <c r="J227" s="2663">
        <f>$E227-SUMIF('11.2. Нови активи отч.год.'!$B$155:$B$175,$B227,'11.2. Нови активи отч.год.'!$E$155:$E$175)+SUMIF('11.2. Нови активи отч.год.'!$B$155:$B$175,$B227,'11.2. Нови активи отч.год.'!J$155:J$175)</f>
        <v>1</v>
      </c>
      <c r="K227" s="2664">
        <f>$E227-SUMIF('11.2. Нови активи отч.год.'!$B$155:$B$175,$B227,'11.2. Нови активи отч.год.'!$E$155:$E$175)+SUMIF('11.2. Нови активи отч.год.'!$B$155:$B$175,$B227,'11.2. Нови активи отч.год.'!K$155:K$175)</f>
        <v>1</v>
      </c>
      <c r="L227" s="2169"/>
      <c r="M227" s="2662">
        <f>$L227-SUMIF('11.2. Нови активи отч.год.'!$B$155:$B$175,$B227,'11.2. Нови активи отч.год.'!$L$155:$L$175)+SUMIF('11.2. Нови активи отч.год.'!$B$155:$B$175,$B227,'11.2. Нови активи отч.год.'!M$155:M$175)</f>
        <v>0</v>
      </c>
      <c r="N227" s="2663">
        <f>$L227-SUMIF('11.2. Нови активи отч.год.'!$B$155:$B$175,$B227,'11.2. Нови активи отч.год.'!$L$155:$L$175)+SUMIF('11.2. Нови активи отч.год.'!$B$155:$B$175,$B227,'11.2. Нови активи отч.год.'!N$155:N$175)</f>
        <v>0</v>
      </c>
      <c r="O227" s="2663">
        <f>$L227-SUMIF('11.2. Нови активи отч.год.'!$B$155:$B$175,$B227,'11.2. Нови активи отч.год.'!$L$155:$L$175)+SUMIF('11.2. Нови активи отч.год.'!$B$155:$B$175,$B227,'11.2. Нови активи отч.год.'!O$155:O$175)</f>
        <v>0</v>
      </c>
      <c r="P227" s="2663">
        <f>$L227-SUMIF('11.2. Нови активи отч.год.'!$B$155:$B$175,$B227,'11.2. Нови активи отч.год.'!$L$155:$L$175)+SUMIF('11.2. Нови активи отч.год.'!$B$155:$B$175,$B227,'11.2. Нови активи отч.год.'!P$155:P$175)</f>
        <v>0</v>
      </c>
      <c r="Q227" s="2663">
        <f>$L227-SUMIF('11.2. Нови активи отч.год.'!$B$155:$B$175,$B227,'11.2. Нови активи отч.год.'!$L$155:$L$175)+SUMIF('11.2. Нови активи отч.год.'!$B$155:$B$175,$B227,'11.2. Нови активи отч.год.'!Q$155:Q$175)</f>
        <v>0</v>
      </c>
      <c r="R227" s="2664">
        <f>$L227-SUMIF('11.2. Нови активи отч.год.'!$B$155:$B$175,$B227,'11.2. Нови активи отч.год.'!$L$155:$L$175)+SUMIF('11.2. Нови активи отч.год.'!$B$155:$B$175,$B227,'11.2. Нови активи отч.год.'!R$155:R$175)</f>
        <v>0</v>
      </c>
      <c r="S227" s="2169"/>
      <c r="T227" s="2662">
        <f>$S227-SUMIF('11.2. Нови активи отч.год.'!$B$155:$B$175,$B227,'11.2. Нови активи отч.год.'!$S$155:$S$175)+SUMIF('11.2. Нови активи отч.год.'!$B$155:$B$175,$B227,'11.2. Нови активи отч.год.'!T$155:T$175)</f>
        <v>0</v>
      </c>
      <c r="U227" s="2663">
        <f>$S227-SUMIF('11.2. Нови активи отч.год.'!$B$155:$B$175,$B227,'11.2. Нови активи отч.год.'!$S$155:$S$175)+SUMIF('11.2. Нови активи отч.год.'!$B$155:$B$175,$B227,'11.2. Нови активи отч.год.'!U$155:U$175)</f>
        <v>0</v>
      </c>
      <c r="V227" s="2663">
        <f>$S227-SUMIF('11.2. Нови активи отч.год.'!$B$155:$B$175,$B227,'11.2. Нови активи отч.год.'!$S$155:$S$175)+SUMIF('11.2. Нови активи отч.год.'!$B$155:$B$175,$B227,'11.2. Нови активи отч.год.'!V$155:V$175)</f>
        <v>0</v>
      </c>
      <c r="W227" s="2663">
        <f>$S227-SUMIF('11.2. Нови активи отч.год.'!$B$155:$B$175,$B227,'11.2. Нови активи отч.год.'!$S$155:$S$175)+SUMIF('11.2. Нови активи отч.год.'!$B$155:$B$175,$B227,'11.2. Нови активи отч.год.'!W$155:W$175)</f>
        <v>0</v>
      </c>
      <c r="X227" s="2663">
        <f>$S227-SUMIF('11.2. Нови активи отч.год.'!$B$155:$B$175,$B227,'11.2. Нови активи отч.год.'!$S$155:$S$175)+SUMIF('11.2. Нови активи отч.год.'!$B$155:$B$175,$B227,'11.2. Нови активи отч.год.'!X$155:X$175)</f>
        <v>0</v>
      </c>
      <c r="Y227" s="2664">
        <f>$S227-SUMIF('11.2. Нови активи отч.год.'!$B$155:$B$175,$B227,'11.2. Нови активи отч.год.'!$S$155:$S$175)+SUMIF('11.2. Нови активи отч.год.'!$B$155:$B$175,$B227,'11.2. Нови активи отч.год.'!Y$155:Y$175)</f>
        <v>0</v>
      </c>
      <c r="Z227" s="1601"/>
      <c r="AA227" s="1623"/>
      <c r="AB227" s="1647"/>
    </row>
    <row r="228" spans="1:28" s="1563" customFormat="1">
      <c r="A228" s="1650">
        <v>15</v>
      </c>
      <c r="B228" s="1595" t="s">
        <v>954</v>
      </c>
      <c r="C228" s="1596">
        <v>0.02</v>
      </c>
      <c r="D228" s="1558" t="s">
        <v>591</v>
      </c>
      <c r="E228" s="2169"/>
      <c r="F228" s="2662">
        <f>$E228-SUMIF('11.2. Нови активи отч.год.'!$B$155:$B$175,$B228,'11.2. Нови активи отч.год.'!$E$155:$E$175)+SUMIF('11.2. Нови активи отч.год.'!$B$155:$B$175,$B228,'11.2. Нови активи отч.год.'!F$155:F$175)</f>
        <v>0</v>
      </c>
      <c r="G228" s="2663">
        <f>$E228-SUMIF('11.2. Нови активи отч.год.'!$B$155:$B$175,$B228,'11.2. Нови активи отч.год.'!$E$155:$E$175)+SUMIF('11.2. Нови активи отч.год.'!$B$155:$B$175,$B228,'11.2. Нови активи отч.год.'!G$155:G$175)</f>
        <v>0</v>
      </c>
      <c r="H228" s="2663">
        <f>$E228-SUMIF('11.2. Нови активи отч.год.'!$B$155:$B$175,$B228,'11.2. Нови активи отч.год.'!$E$155:$E$175)+SUMIF('11.2. Нови активи отч.год.'!$B$155:$B$175,$B228,'11.2. Нови активи отч.год.'!H$155:H$175)</f>
        <v>0</v>
      </c>
      <c r="I228" s="2663">
        <f>$E228-SUMIF('11.2. Нови активи отч.год.'!$B$155:$B$175,$B228,'11.2. Нови активи отч.год.'!$E$155:$E$175)+SUMIF('11.2. Нови активи отч.год.'!$B$155:$B$175,$B228,'11.2. Нови активи отч.год.'!I$155:I$175)</f>
        <v>0</v>
      </c>
      <c r="J228" s="2663">
        <f>$E228-SUMIF('11.2. Нови активи отч.год.'!$B$155:$B$175,$B228,'11.2. Нови активи отч.год.'!$E$155:$E$175)+SUMIF('11.2. Нови активи отч.год.'!$B$155:$B$175,$B228,'11.2. Нови активи отч.год.'!J$155:J$175)</f>
        <v>0</v>
      </c>
      <c r="K228" s="2664">
        <f>$E228-SUMIF('11.2. Нови активи отч.год.'!$B$155:$B$175,$B228,'11.2. Нови активи отч.год.'!$E$155:$E$175)+SUMIF('11.2. Нови активи отч.год.'!$B$155:$B$175,$B228,'11.2. Нови активи отч.год.'!K$155:K$175)</f>
        <v>0</v>
      </c>
      <c r="L228" s="2169"/>
      <c r="M228" s="2662">
        <f>$L228-SUMIF('11.2. Нови активи отч.год.'!$B$155:$B$175,$B228,'11.2. Нови активи отч.год.'!$L$155:$L$175)+SUMIF('11.2. Нови активи отч.год.'!$B$155:$B$175,$B228,'11.2. Нови активи отч.год.'!M$155:M$175)</f>
        <v>0</v>
      </c>
      <c r="N228" s="2663">
        <f>$L228-SUMIF('11.2. Нови активи отч.год.'!$B$155:$B$175,$B228,'11.2. Нови активи отч.год.'!$L$155:$L$175)+SUMIF('11.2. Нови активи отч.год.'!$B$155:$B$175,$B228,'11.2. Нови активи отч.год.'!N$155:N$175)</f>
        <v>0</v>
      </c>
      <c r="O228" s="2663">
        <f>$L228-SUMIF('11.2. Нови активи отч.год.'!$B$155:$B$175,$B228,'11.2. Нови активи отч.год.'!$L$155:$L$175)+SUMIF('11.2. Нови активи отч.год.'!$B$155:$B$175,$B228,'11.2. Нови активи отч.год.'!O$155:O$175)</f>
        <v>0</v>
      </c>
      <c r="P228" s="2663">
        <f>$L228-SUMIF('11.2. Нови активи отч.год.'!$B$155:$B$175,$B228,'11.2. Нови активи отч.год.'!$L$155:$L$175)+SUMIF('11.2. Нови активи отч.год.'!$B$155:$B$175,$B228,'11.2. Нови активи отч.год.'!P$155:P$175)</f>
        <v>0</v>
      </c>
      <c r="Q228" s="2663">
        <f>$L228-SUMIF('11.2. Нови активи отч.год.'!$B$155:$B$175,$B228,'11.2. Нови активи отч.год.'!$L$155:$L$175)+SUMIF('11.2. Нови активи отч.год.'!$B$155:$B$175,$B228,'11.2. Нови активи отч.год.'!Q$155:Q$175)</f>
        <v>0</v>
      </c>
      <c r="R228" s="2664">
        <f>$L228-SUMIF('11.2. Нови активи отч.год.'!$B$155:$B$175,$B228,'11.2. Нови активи отч.год.'!$L$155:$L$175)+SUMIF('11.2. Нови активи отч.год.'!$B$155:$B$175,$B228,'11.2. Нови активи отч.год.'!R$155:R$175)</f>
        <v>0</v>
      </c>
      <c r="S228" s="2169"/>
      <c r="T228" s="2662">
        <f>$S228-SUMIF('11.2. Нови активи отч.год.'!$B$155:$B$175,$B228,'11.2. Нови активи отч.год.'!$S$155:$S$175)+SUMIF('11.2. Нови активи отч.год.'!$B$155:$B$175,$B228,'11.2. Нови активи отч.год.'!T$155:T$175)</f>
        <v>0</v>
      </c>
      <c r="U228" s="2663">
        <f>$S228-SUMIF('11.2. Нови активи отч.год.'!$B$155:$B$175,$B228,'11.2. Нови активи отч.год.'!$S$155:$S$175)+SUMIF('11.2. Нови активи отч.год.'!$B$155:$B$175,$B228,'11.2. Нови активи отч.год.'!U$155:U$175)</f>
        <v>0</v>
      </c>
      <c r="V228" s="2663">
        <f>$S228-SUMIF('11.2. Нови активи отч.год.'!$B$155:$B$175,$B228,'11.2. Нови активи отч.год.'!$S$155:$S$175)+SUMIF('11.2. Нови активи отч.год.'!$B$155:$B$175,$B228,'11.2. Нови активи отч.год.'!V$155:V$175)</f>
        <v>0</v>
      </c>
      <c r="W228" s="2663">
        <f>$S228-SUMIF('11.2. Нови активи отч.год.'!$B$155:$B$175,$B228,'11.2. Нови активи отч.год.'!$S$155:$S$175)+SUMIF('11.2. Нови активи отч.год.'!$B$155:$B$175,$B228,'11.2. Нови активи отч.год.'!W$155:W$175)</f>
        <v>0</v>
      </c>
      <c r="X228" s="2663">
        <f>$S228-SUMIF('11.2. Нови активи отч.год.'!$B$155:$B$175,$B228,'11.2. Нови активи отч.год.'!$S$155:$S$175)+SUMIF('11.2. Нови активи отч.год.'!$B$155:$B$175,$B228,'11.2. Нови активи отч.год.'!X$155:X$175)</f>
        <v>0</v>
      </c>
      <c r="Y228" s="2664">
        <f>$S228-SUMIF('11.2. Нови активи отч.год.'!$B$155:$B$175,$B228,'11.2. Нови активи отч.год.'!$S$155:$S$175)+SUMIF('11.2. Нови активи отч.год.'!$B$155:$B$175,$B228,'11.2. Нови активи отч.год.'!Y$155:Y$175)</f>
        <v>0</v>
      </c>
      <c r="Z228" s="1601"/>
      <c r="AA228" s="1623"/>
      <c r="AB228" s="1647"/>
    </row>
    <row r="229" spans="1:28" s="1563" customFormat="1">
      <c r="A229" s="1650">
        <v>16</v>
      </c>
      <c r="B229" s="1595" t="s">
        <v>955</v>
      </c>
      <c r="C229" s="1596">
        <v>0.02</v>
      </c>
      <c r="D229" s="1544" t="s">
        <v>592</v>
      </c>
      <c r="E229" s="2169">
        <v>1294</v>
      </c>
      <c r="F229" s="2662">
        <f>$E229-SUMIF('11.2. Нови активи отч.год.'!$B$155:$B$175,$B229,'11.2. Нови активи отч.год.'!$E$155:$E$175)+SUMIF('11.2. Нови активи отч.год.'!$B$155:$B$175,$B229,'11.2. Нови активи отч.год.'!F$155:F$175)</f>
        <v>1294</v>
      </c>
      <c r="G229" s="2663">
        <f>$E229-SUMIF('11.2. Нови активи отч.год.'!$B$155:$B$175,$B229,'11.2. Нови активи отч.год.'!$E$155:$E$175)+SUMIF('11.2. Нови активи отч.год.'!$B$155:$B$175,$B229,'11.2. Нови активи отч.год.'!G$155:G$175)</f>
        <v>1364.08</v>
      </c>
      <c r="H229" s="2663">
        <f>$E229-SUMIF('11.2. Нови активи отч.год.'!$B$155:$B$175,$B229,'11.2. Нови активи отч.год.'!$E$155:$E$175)+SUMIF('11.2. Нови активи отч.год.'!$B$155:$B$175,$B229,'11.2. Нови активи отч.год.'!H$155:H$175)</f>
        <v>1504.2</v>
      </c>
      <c r="I229" s="2663">
        <f>$E229-SUMIF('11.2. Нови активи отч.год.'!$B$155:$B$175,$B229,'11.2. Нови активи отч.год.'!$E$155:$E$175)+SUMIF('11.2. Нови активи отч.год.'!$B$155:$B$175,$B229,'11.2. Нови активи отч.год.'!I$155:I$175)</f>
        <v>1733.78</v>
      </c>
      <c r="J229" s="2663">
        <f>$E229-SUMIF('11.2. Нови активи отч.год.'!$B$155:$B$175,$B229,'11.2. Нови активи отч.год.'!$E$155:$E$175)+SUMIF('11.2. Нови активи отч.год.'!$B$155:$B$175,$B229,'11.2. Нови активи отч.год.'!J$155:J$175)</f>
        <v>1905.62</v>
      </c>
      <c r="K229" s="2664">
        <f>$E229-SUMIF('11.2. Нови активи отч.год.'!$B$155:$B$175,$B229,'11.2. Нови активи отч.год.'!$E$155:$E$175)+SUMIF('11.2. Нови активи отч.год.'!$B$155:$B$175,$B229,'11.2. Нови активи отч.год.'!K$155:K$175)</f>
        <v>1905.62</v>
      </c>
      <c r="L229" s="2169"/>
      <c r="M229" s="2662">
        <f>$L229-SUMIF('11.2. Нови активи отч.год.'!$B$155:$B$175,$B229,'11.2. Нови активи отч.год.'!$L$155:$L$175)+SUMIF('11.2. Нови активи отч.год.'!$B$155:$B$175,$B229,'11.2. Нови активи отч.год.'!M$155:M$175)</f>
        <v>0</v>
      </c>
      <c r="N229" s="2663">
        <f>$L229-SUMIF('11.2. Нови активи отч.год.'!$B$155:$B$175,$B229,'11.2. Нови активи отч.год.'!$L$155:$L$175)+SUMIF('11.2. Нови активи отч.год.'!$B$155:$B$175,$B229,'11.2. Нови активи отч.год.'!N$155:N$175)</f>
        <v>0</v>
      </c>
      <c r="O229" s="2663">
        <f>$L229-SUMIF('11.2. Нови активи отч.год.'!$B$155:$B$175,$B229,'11.2. Нови активи отч.год.'!$L$155:$L$175)+SUMIF('11.2. Нови активи отч.год.'!$B$155:$B$175,$B229,'11.2. Нови активи отч.год.'!O$155:O$175)</f>
        <v>0</v>
      </c>
      <c r="P229" s="2663">
        <f>$L229-SUMIF('11.2. Нови активи отч.год.'!$B$155:$B$175,$B229,'11.2. Нови активи отч.год.'!$L$155:$L$175)+SUMIF('11.2. Нови активи отч.год.'!$B$155:$B$175,$B229,'11.2. Нови активи отч.год.'!P$155:P$175)</f>
        <v>0</v>
      </c>
      <c r="Q229" s="2663">
        <f>$L229-SUMIF('11.2. Нови активи отч.год.'!$B$155:$B$175,$B229,'11.2. Нови активи отч.год.'!$L$155:$L$175)+SUMIF('11.2. Нови активи отч.год.'!$B$155:$B$175,$B229,'11.2. Нови активи отч.год.'!Q$155:Q$175)</f>
        <v>0</v>
      </c>
      <c r="R229" s="2664">
        <f>$L229-SUMIF('11.2. Нови активи отч.год.'!$B$155:$B$175,$B229,'11.2. Нови активи отч.год.'!$L$155:$L$175)+SUMIF('11.2. Нови активи отч.год.'!$B$155:$B$175,$B229,'11.2. Нови активи отч.год.'!R$155:R$175)</f>
        <v>0</v>
      </c>
      <c r="S229" s="2169"/>
      <c r="T229" s="2662">
        <f>$S229-SUMIF('11.2. Нови активи отч.год.'!$B$155:$B$175,$B229,'11.2. Нови активи отч.год.'!$S$155:$S$175)+SUMIF('11.2. Нови активи отч.год.'!$B$155:$B$175,$B229,'11.2. Нови активи отч.год.'!T$155:T$175)</f>
        <v>0</v>
      </c>
      <c r="U229" s="2663">
        <f>$S229-SUMIF('11.2. Нови активи отч.год.'!$B$155:$B$175,$B229,'11.2. Нови активи отч.год.'!$S$155:$S$175)+SUMIF('11.2. Нови активи отч.год.'!$B$155:$B$175,$B229,'11.2. Нови активи отч.год.'!U$155:U$175)</f>
        <v>0</v>
      </c>
      <c r="V229" s="2663">
        <f>$S229-SUMIF('11.2. Нови активи отч.год.'!$B$155:$B$175,$B229,'11.2. Нови активи отч.год.'!$S$155:$S$175)+SUMIF('11.2. Нови активи отч.год.'!$B$155:$B$175,$B229,'11.2. Нови активи отч.год.'!V$155:V$175)</f>
        <v>0</v>
      </c>
      <c r="W229" s="2663">
        <f>$S229-SUMIF('11.2. Нови активи отч.год.'!$B$155:$B$175,$B229,'11.2. Нови активи отч.год.'!$S$155:$S$175)+SUMIF('11.2. Нови активи отч.год.'!$B$155:$B$175,$B229,'11.2. Нови активи отч.год.'!W$155:W$175)</f>
        <v>0</v>
      </c>
      <c r="X229" s="2663">
        <f>$S229-SUMIF('11.2. Нови активи отч.год.'!$B$155:$B$175,$B229,'11.2. Нови активи отч.год.'!$S$155:$S$175)+SUMIF('11.2. Нови активи отч.год.'!$B$155:$B$175,$B229,'11.2. Нови активи отч.год.'!X$155:X$175)</f>
        <v>0</v>
      </c>
      <c r="Y229" s="2664">
        <f>$S229-SUMIF('11.2. Нови активи отч.год.'!$B$155:$B$175,$B229,'11.2. Нови активи отч.год.'!$S$155:$S$175)+SUMIF('11.2. Нови активи отч.год.'!$B$155:$B$175,$B229,'11.2. Нови активи отч.год.'!Y$155:Y$175)</f>
        <v>0</v>
      </c>
      <c r="Z229" s="1601"/>
      <c r="AA229" s="1623"/>
      <c r="AB229" s="1647"/>
    </row>
    <row r="230" spans="1:28" s="1563" customFormat="1">
      <c r="A230" s="1650">
        <v>17</v>
      </c>
      <c r="B230" s="1595" t="s">
        <v>956</v>
      </c>
      <c r="C230" s="1596">
        <v>0.02</v>
      </c>
      <c r="D230" s="1546" t="s">
        <v>593</v>
      </c>
      <c r="E230" s="2169"/>
      <c r="F230" s="2662">
        <f>$E230-SUMIF('11.2. Нови активи отч.год.'!$B$155:$B$175,$B230,'11.2. Нови активи отч.год.'!$E$155:$E$175)+SUMIF('11.2. Нови активи отч.год.'!$B$155:$B$175,$B230,'11.2. Нови активи отч.год.'!F$155:F$175)</f>
        <v>0</v>
      </c>
      <c r="G230" s="2663">
        <f>$E230-SUMIF('11.2. Нови активи отч.год.'!$B$155:$B$175,$B230,'11.2. Нови активи отч.год.'!$E$155:$E$175)+SUMIF('11.2. Нови активи отч.год.'!$B$155:$B$175,$B230,'11.2. Нови активи отч.год.'!G$155:G$175)</f>
        <v>0</v>
      </c>
      <c r="H230" s="2663">
        <f>$E230-SUMIF('11.2. Нови активи отч.год.'!$B$155:$B$175,$B230,'11.2. Нови активи отч.год.'!$E$155:$E$175)+SUMIF('11.2. Нови активи отч.год.'!$B$155:$B$175,$B230,'11.2. Нови активи отч.год.'!H$155:H$175)</f>
        <v>0</v>
      </c>
      <c r="I230" s="2663">
        <f>$E230-SUMIF('11.2. Нови активи отч.год.'!$B$155:$B$175,$B230,'11.2. Нови активи отч.год.'!$E$155:$E$175)+SUMIF('11.2. Нови активи отч.год.'!$B$155:$B$175,$B230,'11.2. Нови активи отч.год.'!I$155:I$175)</f>
        <v>0</v>
      </c>
      <c r="J230" s="2663">
        <f>$E230-SUMIF('11.2. Нови активи отч.год.'!$B$155:$B$175,$B230,'11.2. Нови активи отч.год.'!$E$155:$E$175)+SUMIF('11.2. Нови активи отч.год.'!$B$155:$B$175,$B230,'11.2. Нови активи отч.год.'!J$155:J$175)</f>
        <v>0</v>
      </c>
      <c r="K230" s="2664">
        <f>$E230-SUMIF('11.2. Нови активи отч.год.'!$B$155:$B$175,$B230,'11.2. Нови активи отч.год.'!$E$155:$E$175)+SUMIF('11.2. Нови активи отч.год.'!$B$155:$B$175,$B230,'11.2. Нови активи отч.год.'!K$155:K$175)</f>
        <v>0</v>
      </c>
      <c r="L230" s="2169">
        <v>780</v>
      </c>
      <c r="M230" s="2662">
        <f>$L230-SUMIF('11.2. Нови активи отч.год.'!$B$155:$B$175,$B230,'11.2. Нови активи отч.год.'!$L$155:$L$175)+SUMIF('11.2. Нови активи отч.год.'!$B$155:$B$175,$B230,'11.2. Нови активи отч.год.'!M$155:M$175)</f>
        <v>780</v>
      </c>
      <c r="N230" s="2663">
        <f>$L230-SUMIF('11.2. Нови активи отч.год.'!$B$155:$B$175,$B230,'11.2. Нови активи отч.год.'!$L$155:$L$175)+SUMIF('11.2. Нови активи отч.год.'!$B$155:$B$175,$B230,'11.2. Нови активи отч.год.'!N$155:N$175)</f>
        <v>966.1</v>
      </c>
      <c r="O230" s="2663">
        <f>$L230-SUMIF('11.2. Нови активи отч.год.'!$B$155:$B$175,$B230,'11.2. Нови активи отч.год.'!$L$155:$L$175)+SUMIF('11.2. Нови активи отч.год.'!$B$155:$B$175,$B230,'11.2. Нови активи отч.год.'!O$155:O$175)</f>
        <v>966.1</v>
      </c>
      <c r="P230" s="2663">
        <f>$L230-SUMIF('11.2. Нови активи отч.год.'!$B$155:$B$175,$B230,'11.2. Нови активи отч.год.'!$L$155:$L$175)+SUMIF('11.2. Нови активи отч.год.'!$B$155:$B$175,$B230,'11.2. Нови активи отч.год.'!P$155:P$175)</f>
        <v>1048.52</v>
      </c>
      <c r="Q230" s="2663">
        <f>$L230-SUMIF('11.2. Нови активи отч.год.'!$B$155:$B$175,$B230,'11.2. Нови активи отч.год.'!$L$155:$L$175)+SUMIF('11.2. Нови активи отч.год.'!$B$155:$B$175,$B230,'11.2. Нови активи отч.год.'!Q$155:Q$175)</f>
        <v>2035.3600000000001</v>
      </c>
      <c r="R230" s="2664">
        <f>$L230-SUMIF('11.2. Нови активи отч.год.'!$B$155:$B$175,$B230,'11.2. Нови активи отч.год.'!$L$155:$L$175)+SUMIF('11.2. Нови активи отч.год.'!$B$155:$B$175,$B230,'11.2. Нови активи отч.год.'!R$155:R$175)</f>
        <v>2035.3600000000001</v>
      </c>
      <c r="S230" s="2169"/>
      <c r="T230" s="2662">
        <f>$S230-SUMIF('11.2. Нови активи отч.год.'!$B$155:$B$175,$B230,'11.2. Нови активи отч.год.'!$S$155:$S$175)+SUMIF('11.2. Нови активи отч.год.'!$B$155:$B$175,$B230,'11.2. Нови активи отч.год.'!T$155:T$175)</f>
        <v>0</v>
      </c>
      <c r="U230" s="2663">
        <f>$S230-SUMIF('11.2. Нови активи отч.год.'!$B$155:$B$175,$B230,'11.2. Нови активи отч.год.'!$S$155:$S$175)+SUMIF('11.2. Нови активи отч.год.'!$B$155:$B$175,$B230,'11.2. Нови активи отч.год.'!U$155:U$175)</f>
        <v>0</v>
      </c>
      <c r="V230" s="2663">
        <f>$S230-SUMIF('11.2. Нови активи отч.год.'!$B$155:$B$175,$B230,'11.2. Нови активи отч.год.'!$S$155:$S$175)+SUMIF('11.2. Нови активи отч.год.'!$B$155:$B$175,$B230,'11.2. Нови активи отч.год.'!V$155:V$175)</f>
        <v>0</v>
      </c>
      <c r="W230" s="2663">
        <f>$S230-SUMIF('11.2. Нови активи отч.год.'!$B$155:$B$175,$B230,'11.2. Нови активи отч.год.'!$S$155:$S$175)+SUMIF('11.2. Нови активи отч.год.'!$B$155:$B$175,$B230,'11.2. Нови активи отч.год.'!W$155:W$175)</f>
        <v>0</v>
      </c>
      <c r="X230" s="2663">
        <f>$S230-SUMIF('11.2. Нови активи отч.год.'!$B$155:$B$175,$B230,'11.2. Нови активи отч.год.'!$S$155:$S$175)+SUMIF('11.2. Нови активи отч.год.'!$B$155:$B$175,$B230,'11.2. Нови активи отч.год.'!X$155:X$175)</f>
        <v>0</v>
      </c>
      <c r="Y230" s="2664">
        <f>$S230-SUMIF('11.2. Нови активи отч.год.'!$B$155:$B$175,$B230,'11.2. Нови активи отч.год.'!$S$155:$S$175)+SUMIF('11.2. Нови активи отч.год.'!$B$155:$B$175,$B230,'11.2. Нови активи отч.год.'!Y$155:Y$175)</f>
        <v>0</v>
      </c>
      <c r="Z230" s="1601"/>
      <c r="AA230" s="1623"/>
      <c r="AB230" s="1647"/>
    </row>
    <row r="231" spans="1:28" s="1563" customFormat="1" ht="24">
      <c r="A231" s="1650">
        <v>18</v>
      </c>
      <c r="B231" s="1595" t="s">
        <v>957</v>
      </c>
      <c r="C231" s="1596">
        <v>0.04</v>
      </c>
      <c r="D231" s="1546" t="s">
        <v>594</v>
      </c>
      <c r="E231" s="2169">
        <v>110</v>
      </c>
      <c r="F231" s="2662">
        <f>$E231-SUMIF('11.2. Нови активи отч.год.'!$B$155:$B$175,$B231,'11.2. Нови активи отч.год.'!$E$155:$E$175)+SUMIF('11.2. Нови активи отч.год.'!$B$155:$B$175,$B231,'11.2. Нови активи отч.год.'!F$155:F$175)</f>
        <v>110</v>
      </c>
      <c r="G231" s="2663">
        <f>$E231-SUMIF('11.2. Нови активи отч.год.'!$B$155:$B$175,$B231,'11.2. Нови активи отч.год.'!$E$155:$E$175)+SUMIF('11.2. Нови активи отч.год.'!$B$155:$B$175,$B231,'11.2. Нови активи отч.год.'!G$155:G$175)</f>
        <v>110</v>
      </c>
      <c r="H231" s="2663">
        <f>$E231-SUMIF('11.2. Нови активи отч.год.'!$B$155:$B$175,$B231,'11.2. Нови активи отч.год.'!$E$155:$E$175)+SUMIF('11.2. Нови активи отч.год.'!$B$155:$B$175,$B231,'11.2. Нови активи отч.год.'!H$155:H$175)</f>
        <v>110</v>
      </c>
      <c r="I231" s="2663">
        <f>$E231-SUMIF('11.2. Нови активи отч.год.'!$B$155:$B$175,$B231,'11.2. Нови активи отч.год.'!$E$155:$E$175)+SUMIF('11.2. Нови активи отч.год.'!$B$155:$B$175,$B231,'11.2. Нови активи отч.год.'!I$155:I$175)</f>
        <v>110</v>
      </c>
      <c r="J231" s="2663">
        <f>$E231-SUMIF('11.2. Нови активи отч.год.'!$B$155:$B$175,$B231,'11.2. Нови активи отч.год.'!$E$155:$E$175)+SUMIF('11.2. Нови активи отч.год.'!$B$155:$B$175,$B231,'11.2. Нови активи отч.год.'!J$155:J$175)</f>
        <v>110</v>
      </c>
      <c r="K231" s="2664">
        <f>$E231-SUMIF('11.2. Нови активи отч.год.'!$B$155:$B$175,$B231,'11.2. Нови активи отч.год.'!$E$155:$E$175)+SUMIF('11.2. Нови активи отч.год.'!$B$155:$B$175,$B231,'11.2. Нови активи отч.год.'!K$155:K$175)</f>
        <v>110</v>
      </c>
      <c r="L231" s="2169"/>
      <c r="M231" s="2662">
        <f>$L231-SUMIF('11.2. Нови активи отч.год.'!$B$155:$B$175,$B231,'11.2. Нови активи отч.год.'!$L$155:$L$175)+SUMIF('11.2. Нови активи отч.год.'!$B$155:$B$175,$B231,'11.2. Нови активи отч.год.'!M$155:M$175)</f>
        <v>0</v>
      </c>
      <c r="N231" s="2663">
        <f>$L231-SUMIF('11.2. Нови активи отч.год.'!$B$155:$B$175,$B231,'11.2. Нови активи отч.год.'!$L$155:$L$175)+SUMIF('11.2. Нови активи отч.год.'!$B$155:$B$175,$B231,'11.2. Нови активи отч.год.'!N$155:N$175)</f>
        <v>0</v>
      </c>
      <c r="O231" s="2663">
        <f>$L231-SUMIF('11.2. Нови активи отч.год.'!$B$155:$B$175,$B231,'11.2. Нови активи отч.год.'!$L$155:$L$175)+SUMIF('11.2. Нови активи отч.год.'!$B$155:$B$175,$B231,'11.2. Нови активи отч.год.'!O$155:O$175)</f>
        <v>0</v>
      </c>
      <c r="P231" s="2663">
        <f>$L231-SUMIF('11.2. Нови активи отч.год.'!$B$155:$B$175,$B231,'11.2. Нови активи отч.год.'!$L$155:$L$175)+SUMIF('11.2. Нови активи отч.год.'!$B$155:$B$175,$B231,'11.2. Нови активи отч.год.'!P$155:P$175)</f>
        <v>0</v>
      </c>
      <c r="Q231" s="2663">
        <f>$L231-SUMIF('11.2. Нови активи отч.год.'!$B$155:$B$175,$B231,'11.2. Нови активи отч.год.'!$L$155:$L$175)+SUMIF('11.2. Нови активи отч.год.'!$B$155:$B$175,$B231,'11.2. Нови активи отч.год.'!Q$155:Q$175)</f>
        <v>0</v>
      </c>
      <c r="R231" s="2664">
        <f>$L231-SUMIF('11.2. Нови активи отч.год.'!$B$155:$B$175,$B231,'11.2. Нови активи отч.год.'!$L$155:$L$175)+SUMIF('11.2. Нови активи отч.год.'!$B$155:$B$175,$B231,'11.2. Нови активи отч.год.'!R$155:R$175)</f>
        <v>0</v>
      </c>
      <c r="S231" s="2169">
        <v>704</v>
      </c>
      <c r="T231" s="2662">
        <f>$S231-SUMIF('11.2. Нови активи отч.год.'!$B$155:$B$175,$B231,'11.2. Нови активи отч.год.'!$S$155:$S$175)+SUMIF('11.2. Нови активи отч.год.'!$B$155:$B$175,$B231,'11.2. Нови активи отч.год.'!T$155:T$175)</f>
        <v>704</v>
      </c>
      <c r="U231" s="2663">
        <f>$S231-SUMIF('11.2. Нови активи отч.год.'!$B$155:$B$175,$B231,'11.2. Нови активи отч.год.'!$S$155:$S$175)+SUMIF('11.2. Нови активи отч.год.'!$B$155:$B$175,$B231,'11.2. Нови активи отч.год.'!U$155:U$175)</f>
        <v>809.76</v>
      </c>
      <c r="V231" s="2663">
        <f>$S231-SUMIF('11.2. Нови активи отч.год.'!$B$155:$B$175,$B231,'11.2. Нови активи отч.год.'!$S$155:$S$175)+SUMIF('11.2. Нови активи отч.год.'!$B$155:$B$175,$B231,'11.2. Нови активи отч.год.'!V$155:V$175)</f>
        <v>1409.72</v>
      </c>
      <c r="W231" s="2663">
        <f>$S231-SUMIF('11.2. Нови активи отч.год.'!$B$155:$B$175,$B231,'11.2. Нови активи отч.год.'!$S$155:$S$175)+SUMIF('11.2. Нови активи отч.год.'!$B$155:$B$175,$B231,'11.2. Нови активи отч.год.'!W$155:W$175)</f>
        <v>1883.72</v>
      </c>
      <c r="X231" s="2663">
        <f>$S231-SUMIF('11.2. Нови активи отч.год.'!$B$155:$B$175,$B231,'11.2. Нови активи отч.год.'!$S$155:$S$175)+SUMIF('11.2. Нови активи отч.год.'!$B$155:$B$175,$B231,'11.2. Нови активи отч.год.'!X$155:X$175)</f>
        <v>1969.28</v>
      </c>
      <c r="Y231" s="2664">
        <f>$S231-SUMIF('11.2. Нови активи отч.год.'!$B$155:$B$175,$B231,'11.2. Нови активи отч.год.'!$S$155:$S$175)+SUMIF('11.2. Нови активи отч.год.'!$B$155:$B$175,$B231,'11.2. Нови активи отч.год.'!Y$155:Y$175)</f>
        <v>1969.28</v>
      </c>
      <c r="Z231" s="1601"/>
      <c r="AA231" s="1623"/>
      <c r="AB231" s="1647"/>
    </row>
    <row r="232" spans="1:28" s="1563" customFormat="1">
      <c r="A232" s="1650">
        <v>19</v>
      </c>
      <c r="B232" s="1595" t="s">
        <v>958</v>
      </c>
      <c r="C232" s="1596">
        <v>0.04</v>
      </c>
      <c r="D232" s="1546" t="s">
        <v>595</v>
      </c>
      <c r="E232" s="2169">
        <v>44</v>
      </c>
      <c r="F232" s="2662">
        <f>$E232-SUMIF('11.2. Нови активи отч.год.'!$B$155:$B$175,$B232,'11.2. Нови активи отч.год.'!$E$155:$E$175)+SUMIF('11.2. Нови активи отч.год.'!$B$155:$B$175,$B232,'11.2. Нови активи отч.год.'!F$155:F$175)</f>
        <v>44</v>
      </c>
      <c r="G232" s="2663">
        <f>$E232-SUMIF('11.2. Нови активи отч.год.'!$B$155:$B$175,$B232,'11.2. Нови активи отч.год.'!$E$155:$E$175)+SUMIF('11.2. Нови активи отч.год.'!$B$155:$B$175,$B232,'11.2. Нови активи отч.год.'!G$155:G$175)</f>
        <v>44</v>
      </c>
      <c r="H232" s="2663">
        <f>$E232-SUMIF('11.2. Нови активи отч.год.'!$B$155:$B$175,$B232,'11.2. Нови активи отч.год.'!$E$155:$E$175)+SUMIF('11.2. Нови активи отч.год.'!$B$155:$B$175,$B232,'11.2. Нови активи отч.год.'!H$155:H$175)</f>
        <v>44</v>
      </c>
      <c r="I232" s="2663">
        <f>$E232-SUMIF('11.2. Нови активи отч.год.'!$B$155:$B$175,$B232,'11.2. Нови активи отч.год.'!$E$155:$E$175)+SUMIF('11.2. Нови активи отч.год.'!$B$155:$B$175,$B232,'11.2. Нови активи отч.год.'!I$155:I$175)</f>
        <v>44</v>
      </c>
      <c r="J232" s="2663">
        <f>$E232-SUMIF('11.2. Нови активи отч.год.'!$B$155:$B$175,$B232,'11.2. Нови активи отч.год.'!$E$155:$E$175)+SUMIF('11.2. Нови активи отч.год.'!$B$155:$B$175,$B232,'11.2. Нови активи отч.год.'!J$155:J$175)</f>
        <v>44</v>
      </c>
      <c r="K232" s="2664">
        <f>$E232-SUMIF('11.2. Нови активи отч.год.'!$B$155:$B$175,$B232,'11.2. Нови активи отч.год.'!$E$155:$E$175)+SUMIF('11.2. Нови активи отч.год.'!$B$155:$B$175,$B232,'11.2. Нови активи отч.год.'!K$155:K$175)</f>
        <v>44</v>
      </c>
      <c r="L232" s="2169"/>
      <c r="M232" s="2662">
        <f>$L232-SUMIF('11.2. Нови активи отч.год.'!$B$155:$B$175,$B232,'11.2. Нови активи отч.год.'!$L$155:$L$175)+SUMIF('11.2. Нови активи отч.год.'!$B$155:$B$175,$B232,'11.2. Нови активи отч.год.'!M$155:M$175)</f>
        <v>0</v>
      </c>
      <c r="N232" s="2663">
        <f>$L232-SUMIF('11.2. Нови активи отч.год.'!$B$155:$B$175,$B232,'11.2. Нови активи отч.год.'!$L$155:$L$175)+SUMIF('11.2. Нови активи отч.год.'!$B$155:$B$175,$B232,'11.2. Нови активи отч.год.'!N$155:N$175)</f>
        <v>0</v>
      </c>
      <c r="O232" s="2663">
        <f>$L232-SUMIF('11.2. Нови активи отч.год.'!$B$155:$B$175,$B232,'11.2. Нови активи отч.год.'!$L$155:$L$175)+SUMIF('11.2. Нови активи отч.год.'!$B$155:$B$175,$B232,'11.2. Нови активи отч.год.'!O$155:O$175)</f>
        <v>0</v>
      </c>
      <c r="P232" s="2663">
        <f>$L232-SUMIF('11.2. Нови активи отч.год.'!$B$155:$B$175,$B232,'11.2. Нови активи отч.год.'!$L$155:$L$175)+SUMIF('11.2. Нови активи отч.год.'!$B$155:$B$175,$B232,'11.2. Нови активи отч.год.'!P$155:P$175)</f>
        <v>0</v>
      </c>
      <c r="Q232" s="2663">
        <f>$L232-SUMIF('11.2. Нови активи отч.год.'!$B$155:$B$175,$B232,'11.2. Нови активи отч.год.'!$L$155:$L$175)+SUMIF('11.2. Нови активи отч.год.'!$B$155:$B$175,$B232,'11.2. Нови активи отч.год.'!Q$155:Q$175)</f>
        <v>0</v>
      </c>
      <c r="R232" s="2664">
        <f>$L232-SUMIF('11.2. Нови активи отч.год.'!$B$155:$B$175,$B232,'11.2. Нови активи отч.год.'!$L$155:$L$175)+SUMIF('11.2. Нови активи отч.год.'!$B$155:$B$175,$B232,'11.2. Нови активи отч.год.'!R$155:R$175)</f>
        <v>0</v>
      </c>
      <c r="S232" s="2169"/>
      <c r="T232" s="2662">
        <f>$S232-SUMIF('11.2. Нови активи отч.год.'!$B$155:$B$175,$B232,'11.2. Нови активи отч.год.'!$S$155:$S$175)+SUMIF('11.2. Нови активи отч.год.'!$B$155:$B$175,$B232,'11.2. Нови активи отч.год.'!T$155:T$175)</f>
        <v>0</v>
      </c>
      <c r="U232" s="2663">
        <f>$S232-SUMIF('11.2. Нови активи отч.год.'!$B$155:$B$175,$B232,'11.2. Нови активи отч.год.'!$S$155:$S$175)+SUMIF('11.2. Нови активи отч.год.'!$B$155:$B$175,$B232,'11.2. Нови активи отч.год.'!U$155:U$175)</f>
        <v>0</v>
      </c>
      <c r="V232" s="2663">
        <f>$S232-SUMIF('11.2. Нови активи отч.год.'!$B$155:$B$175,$B232,'11.2. Нови активи отч.год.'!$S$155:$S$175)+SUMIF('11.2. Нови активи отч.год.'!$B$155:$B$175,$B232,'11.2. Нови активи отч.год.'!V$155:V$175)</f>
        <v>0</v>
      </c>
      <c r="W232" s="2663">
        <f>$S232-SUMIF('11.2. Нови активи отч.год.'!$B$155:$B$175,$B232,'11.2. Нови активи отч.год.'!$S$155:$S$175)+SUMIF('11.2. Нови активи отч.год.'!$B$155:$B$175,$B232,'11.2. Нови активи отч.год.'!W$155:W$175)</f>
        <v>0</v>
      </c>
      <c r="X232" s="2663">
        <f>$S232-SUMIF('11.2. Нови активи отч.год.'!$B$155:$B$175,$B232,'11.2. Нови активи отч.год.'!$S$155:$S$175)+SUMIF('11.2. Нови активи отч.год.'!$B$155:$B$175,$B232,'11.2. Нови активи отч.год.'!X$155:X$175)</f>
        <v>0</v>
      </c>
      <c r="Y232" s="2664">
        <f>$S232-SUMIF('11.2. Нови активи отч.год.'!$B$155:$B$175,$B232,'11.2. Нови активи отч.год.'!$S$155:$S$175)+SUMIF('11.2. Нови активи отч.год.'!$B$155:$B$175,$B232,'11.2. Нови активи отч.год.'!Y$155:Y$175)</f>
        <v>0</v>
      </c>
      <c r="Z232" s="1601"/>
      <c r="AA232" s="1623"/>
      <c r="AB232" s="1647"/>
    </row>
    <row r="233" spans="1:28" s="1563" customFormat="1">
      <c r="A233" s="1650">
        <v>20</v>
      </c>
      <c r="B233" s="1595" t="s">
        <v>970</v>
      </c>
      <c r="C233" s="1596">
        <v>0.04</v>
      </c>
      <c r="D233" s="1648" t="s">
        <v>606</v>
      </c>
      <c r="E233" s="2169"/>
      <c r="F233" s="2662">
        <f>$E233-SUMIF('11.2. Нови активи отч.год.'!$B$155:$B$175,$B233,'11.2. Нови активи отч.год.'!$E$155:$E$175)+SUMIF('11.2. Нови активи отч.год.'!$B$155:$B$175,$B233,'11.2. Нови активи отч.год.'!F$155:F$175)</f>
        <v>0</v>
      </c>
      <c r="G233" s="2663">
        <f>$E233-SUMIF('11.2. Нови активи отч.год.'!$B$155:$B$175,$B233,'11.2. Нови активи отч.год.'!$E$155:$E$175)+SUMIF('11.2. Нови активи отч.год.'!$B$155:$B$175,$B233,'11.2. Нови активи отч.год.'!G$155:G$175)</f>
        <v>0</v>
      </c>
      <c r="H233" s="2663">
        <f>$E233-SUMIF('11.2. Нови активи отч.год.'!$B$155:$B$175,$B233,'11.2. Нови активи отч.год.'!$E$155:$E$175)+SUMIF('11.2. Нови активи отч.год.'!$B$155:$B$175,$B233,'11.2. Нови активи отч.год.'!H$155:H$175)</f>
        <v>0</v>
      </c>
      <c r="I233" s="2663">
        <f>$E233-SUMIF('11.2. Нови активи отч.год.'!$B$155:$B$175,$B233,'11.2. Нови активи отч.год.'!$E$155:$E$175)+SUMIF('11.2. Нови активи отч.год.'!$B$155:$B$175,$B233,'11.2. Нови активи отч.год.'!I$155:I$175)</f>
        <v>0</v>
      </c>
      <c r="J233" s="2663">
        <f>$E233-SUMIF('11.2. Нови активи отч.год.'!$B$155:$B$175,$B233,'11.2. Нови активи отч.год.'!$E$155:$E$175)+SUMIF('11.2. Нови активи отч.год.'!$B$155:$B$175,$B233,'11.2. Нови активи отч.год.'!J$155:J$175)</f>
        <v>0</v>
      </c>
      <c r="K233" s="2664">
        <f>$E233-SUMIF('11.2. Нови активи отч.год.'!$B$155:$B$175,$B233,'11.2. Нови активи отч.год.'!$E$155:$E$175)+SUMIF('11.2. Нови активи отч.год.'!$B$155:$B$175,$B233,'11.2. Нови активи отч.год.'!K$155:K$175)</f>
        <v>0</v>
      </c>
      <c r="L233" s="2169"/>
      <c r="M233" s="2662">
        <f>$L233-SUMIF('11.2. Нови активи отч.год.'!$B$155:$B$175,$B233,'11.2. Нови активи отч.год.'!$L$155:$L$175)+SUMIF('11.2. Нови активи отч.год.'!$B$155:$B$175,$B233,'11.2. Нови активи отч.год.'!M$155:M$175)</f>
        <v>0</v>
      </c>
      <c r="N233" s="2663">
        <f>$L233-SUMIF('11.2. Нови активи отч.год.'!$B$155:$B$175,$B233,'11.2. Нови активи отч.год.'!$L$155:$L$175)+SUMIF('11.2. Нови активи отч.год.'!$B$155:$B$175,$B233,'11.2. Нови активи отч.год.'!N$155:N$175)</f>
        <v>0</v>
      </c>
      <c r="O233" s="2663">
        <f>$L233-SUMIF('11.2. Нови активи отч.год.'!$B$155:$B$175,$B233,'11.2. Нови активи отч.год.'!$L$155:$L$175)+SUMIF('11.2. Нови активи отч.год.'!$B$155:$B$175,$B233,'11.2. Нови активи отч.год.'!O$155:O$175)</f>
        <v>0</v>
      </c>
      <c r="P233" s="2663">
        <f>$L233-SUMIF('11.2. Нови активи отч.год.'!$B$155:$B$175,$B233,'11.2. Нови активи отч.год.'!$L$155:$L$175)+SUMIF('11.2. Нови активи отч.год.'!$B$155:$B$175,$B233,'11.2. Нови активи отч.год.'!P$155:P$175)</f>
        <v>0</v>
      </c>
      <c r="Q233" s="2663">
        <f>$L233-SUMIF('11.2. Нови активи отч.год.'!$B$155:$B$175,$B233,'11.2. Нови активи отч.год.'!$L$155:$L$175)+SUMIF('11.2. Нови активи отч.год.'!$B$155:$B$175,$B233,'11.2. Нови активи отч.год.'!Q$155:Q$175)</f>
        <v>0</v>
      </c>
      <c r="R233" s="2664">
        <f>$L233-SUMIF('11.2. Нови активи отч.год.'!$B$155:$B$175,$B233,'11.2. Нови активи отч.год.'!$L$155:$L$175)+SUMIF('11.2. Нови активи отч.год.'!$B$155:$B$175,$B233,'11.2. Нови активи отч.год.'!R$155:R$175)</f>
        <v>0</v>
      </c>
      <c r="S233" s="2169"/>
      <c r="T233" s="2662">
        <f>$S233-SUMIF('11.2. Нови активи отч.год.'!$B$155:$B$175,$B233,'11.2. Нови активи отч.год.'!$S$155:$S$175)+SUMIF('11.2. Нови активи отч.год.'!$B$155:$B$175,$B233,'11.2. Нови активи отч.год.'!T$155:T$175)</f>
        <v>0</v>
      </c>
      <c r="U233" s="2663">
        <f>$S233-SUMIF('11.2. Нови активи отч.год.'!$B$155:$B$175,$B233,'11.2. Нови активи отч.год.'!$S$155:$S$175)+SUMIF('11.2. Нови активи отч.год.'!$B$155:$B$175,$B233,'11.2. Нови активи отч.год.'!U$155:U$175)</f>
        <v>0</v>
      </c>
      <c r="V233" s="2663">
        <f>$S233-SUMIF('11.2. Нови активи отч.год.'!$B$155:$B$175,$B233,'11.2. Нови активи отч.год.'!$S$155:$S$175)+SUMIF('11.2. Нови активи отч.год.'!$B$155:$B$175,$B233,'11.2. Нови активи отч.год.'!V$155:V$175)</f>
        <v>0</v>
      </c>
      <c r="W233" s="2663">
        <f>$S233-SUMIF('11.2. Нови активи отч.год.'!$B$155:$B$175,$B233,'11.2. Нови активи отч.год.'!$S$155:$S$175)+SUMIF('11.2. Нови активи отч.год.'!$B$155:$B$175,$B233,'11.2. Нови активи отч.год.'!W$155:W$175)</f>
        <v>0</v>
      </c>
      <c r="X233" s="2663">
        <f>$S233-SUMIF('11.2. Нови активи отч.год.'!$B$155:$B$175,$B233,'11.2. Нови активи отч.год.'!$S$155:$S$175)+SUMIF('11.2. Нови активи отч.год.'!$B$155:$B$175,$B233,'11.2. Нови активи отч.год.'!X$155:X$175)</f>
        <v>0</v>
      </c>
      <c r="Y233" s="2664">
        <f>$S233-SUMIF('11.2. Нови активи отч.год.'!$B$155:$B$175,$B233,'11.2. Нови активи отч.год.'!$S$155:$S$175)+SUMIF('11.2. Нови активи отч.год.'!$B$155:$B$175,$B233,'11.2. Нови активи отч.год.'!Y$155:Y$175)</f>
        <v>0</v>
      </c>
      <c r="Z233" s="1601"/>
      <c r="AA233" s="1623"/>
      <c r="AB233" s="1647"/>
    </row>
    <row r="234" spans="1:28" s="1563" customFormat="1" ht="24.75" thickBot="1">
      <c r="A234" s="1650">
        <v>21</v>
      </c>
      <c r="B234" s="1595" t="s">
        <v>960</v>
      </c>
      <c r="C234" s="1600">
        <v>0.2</v>
      </c>
      <c r="D234" s="1546" t="s">
        <v>911</v>
      </c>
      <c r="E234" s="2169">
        <v>76</v>
      </c>
      <c r="F234" s="2665">
        <f>$E234-SUMIF('11.2. Нови активи отч.год.'!$B$155:$B$175,$B234,'11.2. Нови активи отч.год.'!$E$155:$E$175)+SUMIF('11.2. Нови активи отч.год.'!$B$155:$B$175,$B234,'11.2. Нови активи отч.год.'!F$155:F$175)</f>
        <v>76</v>
      </c>
      <c r="G234" s="2666">
        <f>$E234-SUMIF('11.2. Нови активи отч.год.'!$B$155:$B$175,$B234,'11.2. Нови активи отч.год.'!$E$155:$E$175)+SUMIF('11.2. Нови активи отч.год.'!$B$155:$B$175,$B234,'11.2. Нови активи отч.год.'!G$155:G$175)</f>
        <v>76</v>
      </c>
      <c r="H234" s="2666">
        <f>$E234-SUMIF('11.2. Нови активи отч.год.'!$B$155:$B$175,$B234,'11.2. Нови активи отч.год.'!$E$155:$E$175)+SUMIF('11.2. Нови активи отч.год.'!$B$155:$B$175,$B234,'11.2. Нови активи отч.год.'!H$155:H$175)</f>
        <v>76</v>
      </c>
      <c r="I234" s="2666">
        <f>$E234-SUMIF('11.2. Нови активи отч.год.'!$B$155:$B$175,$B234,'11.2. Нови активи отч.год.'!$E$155:$E$175)+SUMIF('11.2. Нови активи отч.год.'!$B$155:$B$175,$B234,'11.2. Нови активи отч.год.'!I$155:I$175)</f>
        <v>74</v>
      </c>
      <c r="J234" s="2666">
        <f>$E234-SUMIF('11.2. Нови активи отч.год.'!$B$155:$B$175,$B234,'11.2. Нови активи отч.год.'!$E$155:$E$175)+SUMIF('11.2. Нови активи отч.год.'!$B$155:$B$175,$B234,'11.2. Нови активи отч.год.'!J$155:J$175)</f>
        <v>0</v>
      </c>
      <c r="K234" s="2667">
        <f>$E234-SUMIF('11.2. Нови активи отч.год.'!$B$155:$B$175,$B234,'11.2. Нови активи отч.год.'!$E$155:$E$175)+SUMIF('11.2. Нови активи отч.год.'!$B$155:$B$175,$B234,'11.2. Нови активи отч.год.'!K$155:K$175)</f>
        <v>0</v>
      </c>
      <c r="L234" s="2169"/>
      <c r="M234" s="2665">
        <f>$L234-SUMIF('11.2. Нови активи отч.год.'!$B$155:$B$175,$B234,'11.2. Нови активи отч.год.'!$L$155:$L$175)+SUMIF('11.2. Нови активи отч.год.'!$B$155:$B$175,$B234,'11.2. Нови активи отч.год.'!M$155:M$175)</f>
        <v>0</v>
      </c>
      <c r="N234" s="2666">
        <f>$L234-SUMIF('11.2. Нови активи отч.год.'!$B$155:$B$175,$B234,'11.2. Нови активи отч.год.'!$L$155:$L$175)+SUMIF('11.2. Нови активи отч.год.'!$B$155:$B$175,$B234,'11.2. Нови активи отч.год.'!N$155:N$175)</f>
        <v>0</v>
      </c>
      <c r="O234" s="2666">
        <f>$L234-SUMIF('11.2. Нови активи отч.год.'!$B$155:$B$175,$B234,'11.2. Нови активи отч.год.'!$L$155:$L$175)+SUMIF('11.2. Нови активи отч.год.'!$B$155:$B$175,$B234,'11.2. Нови активи отч.год.'!O$155:O$175)</f>
        <v>0</v>
      </c>
      <c r="P234" s="2666">
        <f>$L234-SUMIF('11.2. Нови активи отч.год.'!$B$155:$B$175,$B234,'11.2. Нови активи отч.год.'!$L$155:$L$175)+SUMIF('11.2. Нови активи отч.год.'!$B$155:$B$175,$B234,'11.2. Нови активи отч.год.'!P$155:P$175)</f>
        <v>0</v>
      </c>
      <c r="Q234" s="2666">
        <f>$L234-SUMIF('11.2. Нови активи отч.год.'!$B$155:$B$175,$B234,'11.2. Нови активи отч.год.'!$L$155:$L$175)+SUMIF('11.2. Нови активи отч.год.'!$B$155:$B$175,$B234,'11.2. Нови активи отч.год.'!Q$155:Q$175)</f>
        <v>0</v>
      </c>
      <c r="R234" s="2667">
        <f>$L234-SUMIF('11.2. Нови активи отч.год.'!$B$155:$B$175,$B234,'11.2. Нови активи отч.год.'!$L$155:$L$175)+SUMIF('11.2. Нови активи отч.год.'!$B$155:$B$175,$B234,'11.2. Нови активи отч.год.'!R$155:R$175)</f>
        <v>0</v>
      </c>
      <c r="S234" s="2169"/>
      <c r="T234" s="2665">
        <f>$S234-SUMIF('11.2. Нови активи отч.год.'!$B$155:$B$175,$B234,'11.2. Нови активи отч.год.'!$S$155:$S$175)+SUMIF('11.2. Нови активи отч.год.'!$B$155:$B$175,$B234,'11.2. Нови активи отч.год.'!T$155:T$175)</f>
        <v>0</v>
      </c>
      <c r="U234" s="2666">
        <f>$S234-SUMIF('11.2. Нови активи отч.год.'!$B$155:$B$175,$B234,'11.2. Нови активи отч.год.'!$S$155:$S$175)+SUMIF('11.2. Нови активи отч.год.'!$B$155:$B$175,$B234,'11.2. Нови активи отч.год.'!U$155:U$175)</f>
        <v>0</v>
      </c>
      <c r="V234" s="2666">
        <f>$S234-SUMIF('11.2. Нови активи отч.год.'!$B$155:$B$175,$B234,'11.2. Нови активи отч.год.'!$S$155:$S$175)+SUMIF('11.2. Нови активи отч.год.'!$B$155:$B$175,$B234,'11.2. Нови активи отч.год.'!V$155:V$175)</f>
        <v>0</v>
      </c>
      <c r="W234" s="2666">
        <f>$S234-SUMIF('11.2. Нови активи отч.год.'!$B$155:$B$175,$B234,'11.2. Нови активи отч.год.'!$S$155:$S$175)+SUMIF('11.2. Нови активи отч.год.'!$B$155:$B$175,$B234,'11.2. Нови активи отч.год.'!W$155:W$175)</f>
        <v>0</v>
      </c>
      <c r="X234" s="2666">
        <f>$S234-SUMIF('11.2. Нови активи отч.год.'!$B$155:$B$175,$B234,'11.2. Нови активи отч.год.'!$S$155:$S$175)+SUMIF('11.2. Нови активи отч.год.'!$B$155:$B$175,$B234,'11.2. Нови активи отч.год.'!X$155:X$175)</f>
        <v>0</v>
      </c>
      <c r="Y234" s="2667">
        <f>$S234-SUMIF('11.2. Нови активи отч.год.'!$B$155:$B$175,$B234,'11.2. Нови активи отч.год.'!$S$155:$S$175)+SUMIF('11.2. Нови активи отч.год.'!$B$155:$B$175,$B234,'11.2. Нови активи отч.год.'!Y$155:Y$175)</f>
        <v>0</v>
      </c>
      <c r="Z234" s="1601"/>
      <c r="AA234" s="1623"/>
      <c r="AB234" s="1647"/>
    </row>
    <row r="235" spans="1:28" s="1563" customFormat="1" ht="13.5" thickBot="1">
      <c r="A235" s="1615" t="s">
        <v>282</v>
      </c>
      <c r="B235" s="1616"/>
      <c r="C235" s="1616"/>
      <c r="D235" s="1586" t="s">
        <v>283</v>
      </c>
      <c r="E235" s="2642">
        <f t="shared" ref="E235:Y235" si="106">SUM(E236:E256)</f>
        <v>11405</v>
      </c>
      <c r="F235" s="2637">
        <f t="shared" si="106"/>
        <v>13195</v>
      </c>
      <c r="G235" s="1098">
        <f t="shared" si="106"/>
        <v>15075.58</v>
      </c>
      <c r="H235" s="1098">
        <f t="shared" si="106"/>
        <v>17096.28</v>
      </c>
      <c r="I235" s="1098">
        <f t="shared" si="106"/>
        <v>19289.560000000001</v>
      </c>
      <c r="J235" s="1098">
        <f t="shared" si="106"/>
        <v>21554.68</v>
      </c>
      <c r="K235" s="1100">
        <f t="shared" si="106"/>
        <v>23819.8</v>
      </c>
      <c r="L235" s="2642">
        <f t="shared" si="106"/>
        <v>0</v>
      </c>
      <c r="M235" s="2637">
        <f t="shared" si="106"/>
        <v>780</v>
      </c>
      <c r="N235" s="1098">
        <f t="shared" si="106"/>
        <v>1746.1</v>
      </c>
      <c r="O235" s="1098">
        <f t="shared" si="106"/>
        <v>2712.2</v>
      </c>
      <c r="P235" s="1999">
        <f t="shared" si="106"/>
        <v>3760.72</v>
      </c>
      <c r="Q235" s="1098">
        <f t="shared" si="106"/>
        <v>5796.08</v>
      </c>
      <c r="R235" s="1098">
        <f t="shared" si="106"/>
        <v>7831.4400000000005</v>
      </c>
      <c r="S235" s="2642">
        <f t="shared" si="106"/>
        <v>0</v>
      </c>
      <c r="T235" s="2655">
        <f t="shared" si="106"/>
        <v>704</v>
      </c>
      <c r="U235" s="2656">
        <f t="shared" si="106"/>
        <v>1513.76</v>
      </c>
      <c r="V235" s="2656">
        <f t="shared" si="106"/>
        <v>2923.48</v>
      </c>
      <c r="W235" s="2657">
        <f t="shared" si="106"/>
        <v>4807.2</v>
      </c>
      <c r="X235" s="2656">
        <f t="shared" si="106"/>
        <v>6776.48</v>
      </c>
      <c r="Y235" s="2658">
        <f t="shared" si="106"/>
        <v>8745.76</v>
      </c>
      <c r="Z235" s="1592"/>
      <c r="AA235" s="1623"/>
      <c r="AB235" s="1647"/>
    </row>
    <row r="236" spans="1:28" s="1563" customFormat="1">
      <c r="A236" s="1594">
        <v>1</v>
      </c>
      <c r="B236" s="1652" t="s">
        <v>949</v>
      </c>
      <c r="C236" s="1611">
        <v>0</v>
      </c>
      <c r="D236" s="279" t="s">
        <v>760</v>
      </c>
      <c r="E236" s="2169">
        <v>0</v>
      </c>
      <c r="F236" s="2628">
        <f t="shared" ref="F236:K237" si="107">E236+F214</f>
        <v>0</v>
      </c>
      <c r="G236" s="2629">
        <f t="shared" si="107"/>
        <v>0</v>
      </c>
      <c r="H236" s="2629">
        <f t="shared" si="107"/>
        <v>0</v>
      </c>
      <c r="I236" s="2629">
        <f t="shared" si="107"/>
        <v>0</v>
      </c>
      <c r="J236" s="2629">
        <f t="shared" si="107"/>
        <v>0</v>
      </c>
      <c r="K236" s="2630">
        <f t="shared" si="107"/>
        <v>0</v>
      </c>
      <c r="L236" s="2169"/>
      <c r="M236" s="2628">
        <f t="shared" ref="M236:R237" si="108">L236+M214</f>
        <v>0</v>
      </c>
      <c r="N236" s="2629">
        <f t="shared" si="108"/>
        <v>0</v>
      </c>
      <c r="O236" s="2629">
        <f t="shared" si="108"/>
        <v>0</v>
      </c>
      <c r="P236" s="2629">
        <f t="shared" si="108"/>
        <v>0</v>
      </c>
      <c r="Q236" s="2629">
        <f t="shared" si="108"/>
        <v>0</v>
      </c>
      <c r="R236" s="2630">
        <f t="shared" si="108"/>
        <v>0</v>
      </c>
      <c r="S236" s="2169"/>
      <c r="T236" s="2628">
        <f t="shared" ref="T236:Y237" si="109">S236+T214</f>
        <v>0</v>
      </c>
      <c r="U236" s="2629">
        <f t="shared" si="109"/>
        <v>0</v>
      </c>
      <c r="V236" s="2629">
        <f t="shared" si="109"/>
        <v>0</v>
      </c>
      <c r="W236" s="2629">
        <f t="shared" si="109"/>
        <v>0</v>
      </c>
      <c r="X236" s="2629">
        <f t="shared" si="109"/>
        <v>0</v>
      </c>
      <c r="Y236" s="2630">
        <f t="shared" si="109"/>
        <v>0</v>
      </c>
      <c r="Z236" s="1592"/>
      <c r="AA236" s="1623"/>
      <c r="AB236" s="1647"/>
    </row>
    <row r="237" spans="1:28" s="1563" customFormat="1">
      <c r="A237" s="1594">
        <v>2</v>
      </c>
      <c r="B237" s="1595" t="s">
        <v>950</v>
      </c>
      <c r="C237" s="1596">
        <v>0.03</v>
      </c>
      <c r="D237" s="1648" t="s">
        <v>598</v>
      </c>
      <c r="E237" s="2169">
        <v>207</v>
      </c>
      <c r="F237" s="2631">
        <f t="shared" si="107"/>
        <v>218</v>
      </c>
      <c r="G237" s="2632">
        <f t="shared" si="107"/>
        <v>229</v>
      </c>
      <c r="H237" s="2632">
        <f t="shared" si="107"/>
        <v>240</v>
      </c>
      <c r="I237" s="2632">
        <f t="shared" si="107"/>
        <v>251</v>
      </c>
      <c r="J237" s="2632">
        <f t="shared" si="107"/>
        <v>262</v>
      </c>
      <c r="K237" s="2633">
        <f t="shared" si="107"/>
        <v>273</v>
      </c>
      <c r="L237" s="2169"/>
      <c r="M237" s="2631">
        <f t="shared" si="108"/>
        <v>0</v>
      </c>
      <c r="N237" s="2632">
        <f t="shared" si="108"/>
        <v>0</v>
      </c>
      <c r="O237" s="2632">
        <f t="shared" si="108"/>
        <v>0</v>
      </c>
      <c r="P237" s="2632">
        <f t="shared" si="108"/>
        <v>0</v>
      </c>
      <c r="Q237" s="2632">
        <f t="shared" si="108"/>
        <v>0</v>
      </c>
      <c r="R237" s="2633">
        <f t="shared" si="108"/>
        <v>0</v>
      </c>
      <c r="S237" s="2169"/>
      <c r="T237" s="2631">
        <f t="shared" si="109"/>
        <v>0</v>
      </c>
      <c r="U237" s="2632">
        <f t="shared" si="109"/>
        <v>0</v>
      </c>
      <c r="V237" s="2632">
        <f t="shared" si="109"/>
        <v>0</v>
      </c>
      <c r="W237" s="2632">
        <f t="shared" si="109"/>
        <v>0</v>
      </c>
      <c r="X237" s="2632">
        <f t="shared" si="109"/>
        <v>0</v>
      </c>
      <c r="Y237" s="2633">
        <f t="shared" si="109"/>
        <v>0</v>
      </c>
      <c r="Z237" s="1592"/>
      <c r="AA237" s="1623"/>
      <c r="AB237" s="1647"/>
    </row>
    <row r="238" spans="1:28" s="1563" customFormat="1">
      <c r="A238" s="1594">
        <v>3</v>
      </c>
      <c r="B238" s="1595">
        <v>911301</v>
      </c>
      <c r="C238" s="1596">
        <v>0.1</v>
      </c>
      <c r="D238" s="1648" t="s">
        <v>599</v>
      </c>
      <c r="E238" s="2169"/>
      <c r="F238" s="2631">
        <f t="shared" ref="F238:K238" si="110">E238+F216</f>
        <v>0</v>
      </c>
      <c r="G238" s="2632">
        <f t="shared" si="110"/>
        <v>0</v>
      </c>
      <c r="H238" s="2632">
        <f t="shared" si="110"/>
        <v>0</v>
      </c>
      <c r="I238" s="2632">
        <f t="shared" si="110"/>
        <v>0</v>
      </c>
      <c r="J238" s="2632">
        <f t="shared" si="110"/>
        <v>0</v>
      </c>
      <c r="K238" s="2633">
        <f t="shared" si="110"/>
        <v>0</v>
      </c>
      <c r="L238" s="2169"/>
      <c r="M238" s="2631">
        <f t="shared" ref="M238:R238" si="111">L238+M216</f>
        <v>0</v>
      </c>
      <c r="N238" s="2632">
        <f t="shared" si="111"/>
        <v>0</v>
      </c>
      <c r="O238" s="2632">
        <f t="shared" si="111"/>
        <v>0</v>
      </c>
      <c r="P238" s="2632">
        <f t="shared" si="111"/>
        <v>0</v>
      </c>
      <c r="Q238" s="2632">
        <f t="shared" si="111"/>
        <v>0</v>
      </c>
      <c r="R238" s="2633">
        <f t="shared" si="111"/>
        <v>0</v>
      </c>
      <c r="S238" s="2169"/>
      <c r="T238" s="2631">
        <f t="shared" ref="T238:Y238" si="112">S238+T216</f>
        <v>0</v>
      </c>
      <c r="U238" s="2632">
        <f t="shared" si="112"/>
        <v>0</v>
      </c>
      <c r="V238" s="2632">
        <f t="shared" si="112"/>
        <v>0</v>
      </c>
      <c r="W238" s="2632">
        <f t="shared" si="112"/>
        <v>0</v>
      </c>
      <c r="X238" s="2632">
        <f t="shared" si="112"/>
        <v>0</v>
      </c>
      <c r="Y238" s="2633">
        <f t="shared" si="112"/>
        <v>0</v>
      </c>
      <c r="Z238" s="1592"/>
      <c r="AA238" s="1623"/>
      <c r="AB238" s="1647"/>
    </row>
    <row r="239" spans="1:28" s="1563" customFormat="1">
      <c r="A239" s="1594">
        <v>4</v>
      </c>
      <c r="B239" s="1595">
        <v>911302</v>
      </c>
      <c r="C239" s="1596">
        <v>0.1</v>
      </c>
      <c r="D239" s="1648" t="s">
        <v>600</v>
      </c>
      <c r="E239" s="2169"/>
      <c r="F239" s="2631">
        <f t="shared" ref="F239:K239" si="113">E239+F217</f>
        <v>0</v>
      </c>
      <c r="G239" s="2632">
        <f t="shared" si="113"/>
        <v>0</v>
      </c>
      <c r="H239" s="2632">
        <f t="shared" si="113"/>
        <v>0</v>
      </c>
      <c r="I239" s="2632">
        <f t="shared" si="113"/>
        <v>0</v>
      </c>
      <c r="J239" s="2632">
        <f t="shared" si="113"/>
        <v>0</v>
      </c>
      <c r="K239" s="2633">
        <f t="shared" si="113"/>
        <v>0</v>
      </c>
      <c r="L239" s="2169"/>
      <c r="M239" s="2631">
        <f t="shared" ref="M239:R239" si="114">L239+M217</f>
        <v>0</v>
      </c>
      <c r="N239" s="2632">
        <f t="shared" si="114"/>
        <v>0</v>
      </c>
      <c r="O239" s="2632">
        <f t="shared" si="114"/>
        <v>0</v>
      </c>
      <c r="P239" s="2632">
        <f t="shared" si="114"/>
        <v>0</v>
      </c>
      <c r="Q239" s="2632">
        <f t="shared" si="114"/>
        <v>0</v>
      </c>
      <c r="R239" s="2633">
        <f t="shared" si="114"/>
        <v>0</v>
      </c>
      <c r="S239" s="2169"/>
      <c r="T239" s="2631">
        <f t="shared" ref="T239:Y239" si="115">S239+T217</f>
        <v>0</v>
      </c>
      <c r="U239" s="2632">
        <f t="shared" si="115"/>
        <v>0</v>
      </c>
      <c r="V239" s="2632">
        <f t="shared" si="115"/>
        <v>0</v>
      </c>
      <c r="W239" s="2632">
        <f t="shared" si="115"/>
        <v>0</v>
      </c>
      <c r="X239" s="2632">
        <f t="shared" si="115"/>
        <v>0</v>
      </c>
      <c r="Y239" s="2633">
        <f t="shared" si="115"/>
        <v>0</v>
      </c>
      <c r="Z239" s="1592"/>
      <c r="AA239" s="1623"/>
      <c r="AB239" s="1647"/>
    </row>
    <row r="240" spans="1:28" s="1563" customFormat="1">
      <c r="A240" s="1594">
        <v>5</v>
      </c>
      <c r="B240" s="1595" t="s">
        <v>967</v>
      </c>
      <c r="C240" s="1596">
        <v>0.1</v>
      </c>
      <c r="D240" s="1546" t="s">
        <v>579</v>
      </c>
      <c r="E240" s="2169"/>
      <c r="F240" s="2631">
        <f t="shared" ref="F240:K240" si="116">E240+F218</f>
        <v>0</v>
      </c>
      <c r="G240" s="2632">
        <f t="shared" si="116"/>
        <v>0</v>
      </c>
      <c r="H240" s="2632">
        <f t="shared" si="116"/>
        <v>0</v>
      </c>
      <c r="I240" s="2632">
        <f t="shared" si="116"/>
        <v>0</v>
      </c>
      <c r="J240" s="2632">
        <f t="shared" si="116"/>
        <v>0</v>
      </c>
      <c r="K240" s="2633">
        <f t="shared" si="116"/>
        <v>0</v>
      </c>
      <c r="L240" s="2169"/>
      <c r="M240" s="2631">
        <f t="shared" ref="M240:R240" si="117">L240+M218</f>
        <v>0</v>
      </c>
      <c r="N240" s="2632">
        <f t="shared" si="117"/>
        <v>0</v>
      </c>
      <c r="O240" s="2632">
        <f t="shared" si="117"/>
        <v>0</v>
      </c>
      <c r="P240" s="2632">
        <f t="shared" si="117"/>
        <v>0</v>
      </c>
      <c r="Q240" s="2632">
        <f t="shared" si="117"/>
        <v>0</v>
      </c>
      <c r="R240" s="2633">
        <f t="shared" si="117"/>
        <v>0</v>
      </c>
      <c r="S240" s="2169"/>
      <c r="T240" s="2631">
        <f t="shared" ref="T240:Y240" si="118">S240+T218</f>
        <v>0</v>
      </c>
      <c r="U240" s="2632">
        <f t="shared" si="118"/>
        <v>0</v>
      </c>
      <c r="V240" s="2632">
        <f t="shared" si="118"/>
        <v>0</v>
      </c>
      <c r="W240" s="2632">
        <f t="shared" si="118"/>
        <v>0</v>
      </c>
      <c r="X240" s="2632">
        <f t="shared" si="118"/>
        <v>0</v>
      </c>
      <c r="Y240" s="2633">
        <f t="shared" si="118"/>
        <v>0</v>
      </c>
      <c r="Z240" s="1592"/>
      <c r="AA240" s="1623"/>
      <c r="AB240" s="1647"/>
    </row>
    <row r="241" spans="1:28" s="1563" customFormat="1">
      <c r="A241" s="1594">
        <v>6</v>
      </c>
      <c r="B241" s="1595" t="s">
        <v>968</v>
      </c>
      <c r="C241" s="1596">
        <v>0.1</v>
      </c>
      <c r="D241" s="1546" t="s">
        <v>1391</v>
      </c>
      <c r="E241" s="2169">
        <v>259</v>
      </c>
      <c r="F241" s="2631">
        <f t="shared" ref="F241:K241" si="119">E241+F219</f>
        <v>335</v>
      </c>
      <c r="G241" s="2632">
        <f t="shared" si="119"/>
        <v>411</v>
      </c>
      <c r="H241" s="2632">
        <f t="shared" si="119"/>
        <v>487</v>
      </c>
      <c r="I241" s="2632">
        <f t="shared" si="119"/>
        <v>563</v>
      </c>
      <c r="J241" s="2632">
        <f t="shared" si="119"/>
        <v>639</v>
      </c>
      <c r="K241" s="2633">
        <f t="shared" si="119"/>
        <v>715</v>
      </c>
      <c r="L241" s="2169"/>
      <c r="M241" s="2631">
        <f t="shared" ref="M241:R241" si="120">L241+M219</f>
        <v>0</v>
      </c>
      <c r="N241" s="2632">
        <f t="shared" si="120"/>
        <v>0</v>
      </c>
      <c r="O241" s="2632">
        <f t="shared" si="120"/>
        <v>0</v>
      </c>
      <c r="P241" s="2632">
        <f t="shared" si="120"/>
        <v>0</v>
      </c>
      <c r="Q241" s="2632">
        <f t="shared" si="120"/>
        <v>0</v>
      </c>
      <c r="R241" s="2633">
        <f t="shared" si="120"/>
        <v>0</v>
      </c>
      <c r="S241" s="2169"/>
      <c r="T241" s="2631">
        <f t="shared" ref="T241:Y241" si="121">S241+T219</f>
        <v>0</v>
      </c>
      <c r="U241" s="2632">
        <f t="shared" si="121"/>
        <v>0</v>
      </c>
      <c r="V241" s="2632">
        <f t="shared" si="121"/>
        <v>0</v>
      </c>
      <c r="W241" s="2632">
        <f t="shared" si="121"/>
        <v>0</v>
      </c>
      <c r="X241" s="2632">
        <f t="shared" si="121"/>
        <v>0</v>
      </c>
      <c r="Y241" s="2633">
        <f t="shared" si="121"/>
        <v>0</v>
      </c>
      <c r="Z241" s="1592"/>
      <c r="AA241" s="1623"/>
      <c r="AB241" s="1647"/>
    </row>
    <row r="242" spans="1:28" s="1563" customFormat="1" ht="24">
      <c r="A242" s="1594">
        <v>7</v>
      </c>
      <c r="B242" s="1595" t="s">
        <v>959</v>
      </c>
      <c r="C242" s="1596">
        <v>0.1</v>
      </c>
      <c r="D242" s="1546" t="s">
        <v>948</v>
      </c>
      <c r="E242" s="2169"/>
      <c r="F242" s="2631">
        <f t="shared" ref="F242:K242" si="122">E242+F220</f>
        <v>0</v>
      </c>
      <c r="G242" s="2632">
        <f t="shared" si="122"/>
        <v>0</v>
      </c>
      <c r="H242" s="2632">
        <f t="shared" si="122"/>
        <v>0</v>
      </c>
      <c r="I242" s="2632">
        <f t="shared" si="122"/>
        <v>0</v>
      </c>
      <c r="J242" s="2632">
        <f t="shared" si="122"/>
        <v>0</v>
      </c>
      <c r="K242" s="2633">
        <f t="shared" si="122"/>
        <v>0</v>
      </c>
      <c r="L242" s="2169"/>
      <c r="M242" s="2631">
        <f t="shared" ref="M242:R242" si="123">L242+M220</f>
        <v>0</v>
      </c>
      <c r="N242" s="2632">
        <f t="shared" si="123"/>
        <v>0</v>
      </c>
      <c r="O242" s="2632">
        <f t="shared" si="123"/>
        <v>0</v>
      </c>
      <c r="P242" s="2632">
        <f t="shared" si="123"/>
        <v>0</v>
      </c>
      <c r="Q242" s="2632">
        <f t="shared" si="123"/>
        <v>0</v>
      </c>
      <c r="R242" s="2633">
        <f t="shared" si="123"/>
        <v>0</v>
      </c>
      <c r="S242" s="2169"/>
      <c r="T242" s="2631">
        <f t="shared" ref="T242:Y242" si="124">S242+T220</f>
        <v>0</v>
      </c>
      <c r="U242" s="2632">
        <f t="shared" si="124"/>
        <v>0</v>
      </c>
      <c r="V242" s="2632">
        <f t="shared" si="124"/>
        <v>0</v>
      </c>
      <c r="W242" s="2632">
        <f t="shared" si="124"/>
        <v>0</v>
      </c>
      <c r="X242" s="2632">
        <f t="shared" si="124"/>
        <v>0</v>
      </c>
      <c r="Y242" s="2633">
        <f t="shared" si="124"/>
        <v>0</v>
      </c>
      <c r="Z242" s="1592"/>
      <c r="AA242" s="1623"/>
      <c r="AB242" s="1647"/>
    </row>
    <row r="243" spans="1:28" s="1563" customFormat="1">
      <c r="A243" s="1594">
        <v>8</v>
      </c>
      <c r="B243" s="1595" t="s">
        <v>969</v>
      </c>
      <c r="C243" s="1596">
        <v>0.1</v>
      </c>
      <c r="D243" s="1546" t="s">
        <v>966</v>
      </c>
      <c r="E243" s="2169">
        <v>467</v>
      </c>
      <c r="F243" s="2631">
        <f t="shared" ref="F243:F255" si="125">E243+F221</f>
        <v>526</v>
      </c>
      <c r="G243" s="2632">
        <f t="shared" ref="G243:K244" si="126">F243+G221</f>
        <v>605.5</v>
      </c>
      <c r="H243" s="2632">
        <f t="shared" si="126"/>
        <v>685</v>
      </c>
      <c r="I243" s="2632">
        <f t="shared" si="126"/>
        <v>726.5</v>
      </c>
      <c r="J243" s="2632">
        <f t="shared" si="126"/>
        <v>747</v>
      </c>
      <c r="K243" s="2633">
        <f t="shared" si="126"/>
        <v>767.5</v>
      </c>
      <c r="L243" s="2169"/>
      <c r="M243" s="2631">
        <f t="shared" ref="M243:R243" si="127">L243+M221</f>
        <v>0</v>
      </c>
      <c r="N243" s="2632">
        <f t="shared" si="127"/>
        <v>0</v>
      </c>
      <c r="O243" s="2632">
        <f t="shared" si="127"/>
        <v>0</v>
      </c>
      <c r="P243" s="2632">
        <f t="shared" si="127"/>
        <v>0</v>
      </c>
      <c r="Q243" s="2632">
        <f t="shared" si="127"/>
        <v>0</v>
      </c>
      <c r="R243" s="2633">
        <f t="shared" si="127"/>
        <v>0</v>
      </c>
      <c r="S243" s="2169"/>
      <c r="T243" s="2631">
        <f t="shared" ref="T243:Y243" si="128">S243+T221</f>
        <v>0</v>
      </c>
      <c r="U243" s="2632">
        <f t="shared" si="128"/>
        <v>0</v>
      </c>
      <c r="V243" s="2632">
        <f t="shared" si="128"/>
        <v>0</v>
      </c>
      <c r="W243" s="2632">
        <f t="shared" si="128"/>
        <v>0</v>
      </c>
      <c r="X243" s="2632">
        <f t="shared" si="128"/>
        <v>0</v>
      </c>
      <c r="Y243" s="2633">
        <f t="shared" si="128"/>
        <v>0</v>
      </c>
      <c r="Z243" s="1592"/>
      <c r="AA243" s="1623"/>
      <c r="AB243" s="1647"/>
    </row>
    <row r="244" spans="1:28" s="1563" customFormat="1">
      <c r="A244" s="1650">
        <v>9</v>
      </c>
      <c r="B244" s="1595">
        <v>911306</v>
      </c>
      <c r="C244" s="1596">
        <v>0.1</v>
      </c>
      <c r="D244" s="1546" t="s">
        <v>1471</v>
      </c>
      <c r="E244" s="2169">
        <v>150</v>
      </c>
      <c r="F244" s="2631">
        <f t="shared" si="125"/>
        <v>172</v>
      </c>
      <c r="G244" s="2632">
        <f t="shared" si="126"/>
        <v>194</v>
      </c>
      <c r="H244" s="2632">
        <f t="shared" si="126"/>
        <v>216</v>
      </c>
      <c r="I244" s="2632">
        <f t="shared" si="126"/>
        <v>221</v>
      </c>
      <c r="J244" s="2632">
        <f t="shared" si="126"/>
        <v>221</v>
      </c>
      <c r="K244" s="2633">
        <f t="shared" si="126"/>
        <v>221</v>
      </c>
      <c r="L244" s="2169"/>
      <c r="M244" s="2631">
        <f t="shared" ref="M244:R244" si="129">L244+M222</f>
        <v>0</v>
      </c>
      <c r="N244" s="2632">
        <f t="shared" si="129"/>
        <v>0</v>
      </c>
      <c r="O244" s="2632">
        <f t="shared" si="129"/>
        <v>0</v>
      </c>
      <c r="P244" s="2632">
        <f t="shared" si="129"/>
        <v>0</v>
      </c>
      <c r="Q244" s="2632">
        <f t="shared" si="129"/>
        <v>0</v>
      </c>
      <c r="R244" s="2633">
        <f t="shared" si="129"/>
        <v>0</v>
      </c>
      <c r="S244" s="2169"/>
      <c r="T244" s="2631">
        <f t="shared" ref="T244:Y244" si="130">S244+T222</f>
        <v>0</v>
      </c>
      <c r="U244" s="2632">
        <f t="shared" si="130"/>
        <v>0</v>
      </c>
      <c r="V244" s="2632">
        <f t="shared" si="130"/>
        <v>0</v>
      </c>
      <c r="W244" s="2632">
        <f t="shared" si="130"/>
        <v>0</v>
      </c>
      <c r="X244" s="2632">
        <f t="shared" si="130"/>
        <v>0</v>
      </c>
      <c r="Y244" s="2633">
        <f t="shared" si="130"/>
        <v>0</v>
      </c>
      <c r="Z244" s="1592"/>
      <c r="AA244" s="1623"/>
      <c r="AB244" s="1647"/>
    </row>
    <row r="245" spans="1:28" s="1563" customFormat="1">
      <c r="A245" s="1650">
        <v>10</v>
      </c>
      <c r="B245" s="1595">
        <v>91140101</v>
      </c>
      <c r="C245" s="1649">
        <v>0.1</v>
      </c>
      <c r="D245" s="1558" t="s">
        <v>1442</v>
      </c>
      <c r="E245" s="2169"/>
      <c r="F245" s="2631">
        <f t="shared" si="125"/>
        <v>0</v>
      </c>
      <c r="G245" s="2632">
        <f t="shared" ref="G245:K255" si="131">F245+G223</f>
        <v>0</v>
      </c>
      <c r="H245" s="2632">
        <f t="shared" si="131"/>
        <v>0</v>
      </c>
      <c r="I245" s="2632">
        <f t="shared" si="131"/>
        <v>0</v>
      </c>
      <c r="J245" s="2632">
        <f t="shared" si="131"/>
        <v>0</v>
      </c>
      <c r="K245" s="2633">
        <f t="shared" si="131"/>
        <v>0</v>
      </c>
      <c r="L245" s="2169"/>
      <c r="M245" s="2631">
        <f t="shared" ref="M245:R256" si="132">L245+M223</f>
        <v>0</v>
      </c>
      <c r="N245" s="2632">
        <f t="shared" si="132"/>
        <v>0</v>
      </c>
      <c r="O245" s="2632">
        <f t="shared" si="132"/>
        <v>0</v>
      </c>
      <c r="P245" s="2632">
        <f t="shared" si="132"/>
        <v>0</v>
      </c>
      <c r="Q245" s="2632">
        <f t="shared" si="132"/>
        <v>0</v>
      </c>
      <c r="R245" s="2633">
        <f t="shared" si="132"/>
        <v>0</v>
      </c>
      <c r="S245" s="2169"/>
      <c r="T245" s="2631">
        <f t="shared" ref="T245:Y256" si="133">S245+T223</f>
        <v>0</v>
      </c>
      <c r="U245" s="2632">
        <f t="shared" si="133"/>
        <v>0</v>
      </c>
      <c r="V245" s="2632">
        <f t="shared" si="133"/>
        <v>0</v>
      </c>
      <c r="W245" s="2632">
        <f t="shared" si="133"/>
        <v>0</v>
      </c>
      <c r="X245" s="2632">
        <f t="shared" si="133"/>
        <v>0</v>
      </c>
      <c r="Y245" s="2633">
        <f t="shared" si="133"/>
        <v>0</v>
      </c>
      <c r="Z245" s="1592"/>
      <c r="AA245" s="1623"/>
      <c r="AB245" s="1647"/>
    </row>
    <row r="246" spans="1:28" s="1563" customFormat="1">
      <c r="A246" s="1650">
        <v>11</v>
      </c>
      <c r="B246" s="1595">
        <v>91140102</v>
      </c>
      <c r="C246" s="1649">
        <v>0.04</v>
      </c>
      <c r="D246" s="1558" t="s">
        <v>604</v>
      </c>
      <c r="E246" s="2169"/>
      <c r="F246" s="2631">
        <f t="shared" si="125"/>
        <v>0</v>
      </c>
      <c r="G246" s="2632">
        <f t="shared" si="131"/>
        <v>0</v>
      </c>
      <c r="H246" s="2632">
        <f t="shared" si="131"/>
        <v>0</v>
      </c>
      <c r="I246" s="2632">
        <f t="shared" si="131"/>
        <v>0</v>
      </c>
      <c r="J246" s="2632">
        <f t="shared" si="131"/>
        <v>0</v>
      </c>
      <c r="K246" s="2633">
        <f t="shared" si="131"/>
        <v>0</v>
      </c>
      <c r="L246" s="2169"/>
      <c r="M246" s="2631">
        <f t="shared" si="132"/>
        <v>0</v>
      </c>
      <c r="N246" s="2632">
        <f t="shared" si="132"/>
        <v>0</v>
      </c>
      <c r="O246" s="2632">
        <f t="shared" si="132"/>
        <v>0</v>
      </c>
      <c r="P246" s="2632">
        <f t="shared" si="132"/>
        <v>0</v>
      </c>
      <c r="Q246" s="2632">
        <f t="shared" si="132"/>
        <v>0</v>
      </c>
      <c r="R246" s="2633">
        <f t="shared" si="132"/>
        <v>0</v>
      </c>
      <c r="S246" s="2169"/>
      <c r="T246" s="2631">
        <f t="shared" si="133"/>
        <v>0</v>
      </c>
      <c r="U246" s="2632">
        <f t="shared" si="133"/>
        <v>0</v>
      </c>
      <c r="V246" s="2632">
        <f t="shared" si="133"/>
        <v>0</v>
      </c>
      <c r="W246" s="2632">
        <f t="shared" si="133"/>
        <v>0</v>
      </c>
      <c r="X246" s="2632">
        <f t="shared" si="133"/>
        <v>0</v>
      </c>
      <c r="Y246" s="2633">
        <f t="shared" si="133"/>
        <v>0</v>
      </c>
      <c r="Z246" s="1592"/>
      <c r="AA246" s="1623"/>
      <c r="AB246" s="1647"/>
    </row>
    <row r="247" spans="1:28" s="1563" customFormat="1">
      <c r="A247" s="1650">
        <v>12</v>
      </c>
      <c r="B247" s="1595" t="s">
        <v>951</v>
      </c>
      <c r="C247" s="1596">
        <v>0.02</v>
      </c>
      <c r="D247" s="1544" t="s">
        <v>1007</v>
      </c>
      <c r="E247" s="2169"/>
      <c r="F247" s="2631">
        <f t="shared" si="125"/>
        <v>0</v>
      </c>
      <c r="G247" s="2632">
        <f t="shared" si="131"/>
        <v>0</v>
      </c>
      <c r="H247" s="2632">
        <f t="shared" si="131"/>
        <v>0</v>
      </c>
      <c r="I247" s="2632">
        <f t="shared" si="131"/>
        <v>0</v>
      </c>
      <c r="J247" s="2632">
        <f t="shared" si="131"/>
        <v>0</v>
      </c>
      <c r="K247" s="2633">
        <f t="shared" si="131"/>
        <v>0</v>
      </c>
      <c r="L247" s="2169"/>
      <c r="M247" s="2631">
        <f t="shared" si="132"/>
        <v>0</v>
      </c>
      <c r="N247" s="2632">
        <f t="shared" si="132"/>
        <v>0</v>
      </c>
      <c r="O247" s="2632">
        <f t="shared" si="132"/>
        <v>0</v>
      </c>
      <c r="P247" s="2632">
        <f t="shared" si="132"/>
        <v>0</v>
      </c>
      <c r="Q247" s="2632">
        <f t="shared" si="132"/>
        <v>0</v>
      </c>
      <c r="R247" s="2633">
        <f t="shared" si="132"/>
        <v>0</v>
      </c>
      <c r="S247" s="2169"/>
      <c r="T247" s="2631">
        <f t="shared" si="133"/>
        <v>0</v>
      </c>
      <c r="U247" s="2632">
        <f t="shared" si="133"/>
        <v>0</v>
      </c>
      <c r="V247" s="2632">
        <f t="shared" si="133"/>
        <v>0</v>
      </c>
      <c r="W247" s="2632">
        <f t="shared" si="133"/>
        <v>0</v>
      </c>
      <c r="X247" s="2632">
        <f t="shared" si="133"/>
        <v>0</v>
      </c>
      <c r="Y247" s="2633">
        <f t="shared" si="133"/>
        <v>0</v>
      </c>
      <c r="Z247" s="1592"/>
      <c r="AA247" s="1623"/>
      <c r="AB247" s="1647"/>
    </row>
    <row r="248" spans="1:28" s="1563" customFormat="1">
      <c r="A248" s="1650">
        <v>13</v>
      </c>
      <c r="B248" s="1595" t="s">
        <v>952</v>
      </c>
      <c r="C248" s="1596">
        <v>0.02</v>
      </c>
      <c r="D248" s="1544" t="s">
        <v>1008</v>
      </c>
      <c r="E248" s="2169">
        <v>591</v>
      </c>
      <c r="F248" s="2631">
        <f t="shared" si="125"/>
        <v>688</v>
      </c>
      <c r="G248" s="2632">
        <f t="shared" si="131"/>
        <v>785</v>
      </c>
      <c r="H248" s="2632">
        <f t="shared" si="131"/>
        <v>882</v>
      </c>
      <c r="I248" s="2632">
        <f t="shared" si="131"/>
        <v>979</v>
      </c>
      <c r="J248" s="2632">
        <f t="shared" si="131"/>
        <v>1076</v>
      </c>
      <c r="K248" s="2633">
        <f t="shared" si="131"/>
        <v>1173</v>
      </c>
      <c r="L248" s="2169"/>
      <c r="M248" s="2631">
        <f t="shared" si="132"/>
        <v>0</v>
      </c>
      <c r="N248" s="2632">
        <f t="shared" si="132"/>
        <v>0</v>
      </c>
      <c r="O248" s="2632">
        <f t="shared" si="132"/>
        <v>0</v>
      </c>
      <c r="P248" s="2632">
        <f t="shared" si="132"/>
        <v>0</v>
      </c>
      <c r="Q248" s="2632">
        <f t="shared" si="132"/>
        <v>0</v>
      </c>
      <c r="R248" s="2633">
        <f t="shared" si="132"/>
        <v>0</v>
      </c>
      <c r="S248" s="2169"/>
      <c r="T248" s="2631">
        <f t="shared" si="133"/>
        <v>0</v>
      </c>
      <c r="U248" s="2632">
        <f t="shared" si="133"/>
        <v>0</v>
      </c>
      <c r="V248" s="2632">
        <f t="shared" si="133"/>
        <v>0</v>
      </c>
      <c r="W248" s="2632">
        <f t="shared" si="133"/>
        <v>0</v>
      </c>
      <c r="X248" s="2632">
        <f t="shared" si="133"/>
        <v>0</v>
      </c>
      <c r="Y248" s="2633">
        <f t="shared" si="133"/>
        <v>0</v>
      </c>
      <c r="Z248" s="1592"/>
      <c r="AA248" s="1623"/>
      <c r="AB248" s="1647"/>
    </row>
    <row r="249" spans="1:28" s="1563" customFormat="1">
      <c r="A249" s="1650">
        <v>14</v>
      </c>
      <c r="B249" s="1595" t="s">
        <v>953</v>
      </c>
      <c r="C249" s="1596">
        <v>0.02</v>
      </c>
      <c r="D249" s="1544" t="s">
        <v>590</v>
      </c>
      <c r="E249" s="2169">
        <v>43</v>
      </c>
      <c r="F249" s="2631">
        <f t="shared" si="125"/>
        <v>44</v>
      </c>
      <c r="G249" s="2632">
        <f t="shared" si="131"/>
        <v>45</v>
      </c>
      <c r="H249" s="2632">
        <f t="shared" si="131"/>
        <v>46</v>
      </c>
      <c r="I249" s="2632">
        <f t="shared" si="131"/>
        <v>47</v>
      </c>
      <c r="J249" s="2632">
        <f t="shared" si="131"/>
        <v>48</v>
      </c>
      <c r="K249" s="2633">
        <f t="shared" si="131"/>
        <v>49</v>
      </c>
      <c r="L249" s="2169"/>
      <c r="M249" s="2631">
        <f t="shared" si="132"/>
        <v>0</v>
      </c>
      <c r="N249" s="2632">
        <f t="shared" si="132"/>
        <v>0</v>
      </c>
      <c r="O249" s="2632">
        <f t="shared" si="132"/>
        <v>0</v>
      </c>
      <c r="P249" s="2632">
        <f t="shared" si="132"/>
        <v>0</v>
      </c>
      <c r="Q249" s="2632">
        <f t="shared" si="132"/>
        <v>0</v>
      </c>
      <c r="R249" s="2633">
        <f t="shared" si="132"/>
        <v>0</v>
      </c>
      <c r="S249" s="2169"/>
      <c r="T249" s="2631">
        <f t="shared" si="133"/>
        <v>0</v>
      </c>
      <c r="U249" s="2632">
        <f t="shared" si="133"/>
        <v>0</v>
      </c>
      <c r="V249" s="2632">
        <f t="shared" si="133"/>
        <v>0</v>
      </c>
      <c r="W249" s="2632">
        <f t="shared" si="133"/>
        <v>0</v>
      </c>
      <c r="X249" s="2632">
        <f t="shared" si="133"/>
        <v>0</v>
      </c>
      <c r="Y249" s="2633">
        <f t="shared" si="133"/>
        <v>0</v>
      </c>
      <c r="Z249" s="1592"/>
      <c r="AA249" s="1623"/>
      <c r="AB249" s="1647"/>
    </row>
    <row r="250" spans="1:28" s="1563" customFormat="1">
      <c r="A250" s="1650">
        <v>15</v>
      </c>
      <c r="B250" s="1595" t="s">
        <v>954</v>
      </c>
      <c r="C250" s="1596">
        <v>0.02</v>
      </c>
      <c r="D250" s="1558" t="s">
        <v>591</v>
      </c>
      <c r="E250" s="2169"/>
      <c r="F250" s="2631">
        <f t="shared" si="125"/>
        <v>0</v>
      </c>
      <c r="G250" s="2632">
        <f t="shared" si="131"/>
        <v>0</v>
      </c>
      <c r="H250" s="2632">
        <f t="shared" si="131"/>
        <v>0</v>
      </c>
      <c r="I250" s="2632">
        <f t="shared" si="131"/>
        <v>0</v>
      </c>
      <c r="J250" s="2632">
        <f t="shared" si="131"/>
        <v>0</v>
      </c>
      <c r="K250" s="2633">
        <f t="shared" si="131"/>
        <v>0</v>
      </c>
      <c r="L250" s="2169"/>
      <c r="M250" s="2631">
        <f t="shared" si="132"/>
        <v>0</v>
      </c>
      <c r="N250" s="2632">
        <f t="shared" si="132"/>
        <v>0</v>
      </c>
      <c r="O250" s="2632">
        <f t="shared" si="132"/>
        <v>0</v>
      </c>
      <c r="P250" s="2632">
        <f t="shared" si="132"/>
        <v>0</v>
      </c>
      <c r="Q250" s="2632">
        <f t="shared" si="132"/>
        <v>0</v>
      </c>
      <c r="R250" s="2633">
        <f t="shared" si="132"/>
        <v>0</v>
      </c>
      <c r="S250" s="2169"/>
      <c r="T250" s="2631">
        <f t="shared" si="133"/>
        <v>0</v>
      </c>
      <c r="U250" s="2632">
        <f t="shared" si="133"/>
        <v>0</v>
      </c>
      <c r="V250" s="2632">
        <f t="shared" si="133"/>
        <v>0</v>
      </c>
      <c r="W250" s="2632">
        <f t="shared" si="133"/>
        <v>0</v>
      </c>
      <c r="X250" s="2632">
        <f t="shared" si="133"/>
        <v>0</v>
      </c>
      <c r="Y250" s="2633">
        <f t="shared" si="133"/>
        <v>0</v>
      </c>
      <c r="Z250" s="1592"/>
      <c r="AA250" s="1623"/>
      <c r="AB250" s="1647"/>
    </row>
    <row r="251" spans="1:28" s="1563" customFormat="1">
      <c r="A251" s="1650">
        <v>16</v>
      </c>
      <c r="B251" s="1595" t="s">
        <v>955</v>
      </c>
      <c r="C251" s="1596">
        <v>0.02</v>
      </c>
      <c r="D251" s="1544" t="s">
        <v>592</v>
      </c>
      <c r="E251" s="2169">
        <v>8402</v>
      </c>
      <c r="F251" s="2631">
        <f t="shared" si="125"/>
        <v>9696</v>
      </c>
      <c r="G251" s="2632">
        <f t="shared" si="131"/>
        <v>11060.08</v>
      </c>
      <c r="H251" s="2632">
        <f t="shared" si="131"/>
        <v>12564.28</v>
      </c>
      <c r="I251" s="2632">
        <f t="shared" si="131"/>
        <v>14298.060000000001</v>
      </c>
      <c r="J251" s="2632">
        <f t="shared" si="131"/>
        <v>16203.68</v>
      </c>
      <c r="K251" s="2633">
        <f t="shared" si="131"/>
        <v>18109.3</v>
      </c>
      <c r="L251" s="2169"/>
      <c r="M251" s="2631">
        <f t="shared" si="132"/>
        <v>0</v>
      </c>
      <c r="N251" s="2632">
        <f t="shared" si="132"/>
        <v>0</v>
      </c>
      <c r="O251" s="2632">
        <f t="shared" si="132"/>
        <v>0</v>
      </c>
      <c r="P251" s="2632">
        <f t="shared" si="132"/>
        <v>0</v>
      </c>
      <c r="Q251" s="2632">
        <f t="shared" si="132"/>
        <v>0</v>
      </c>
      <c r="R251" s="2633">
        <f t="shared" si="132"/>
        <v>0</v>
      </c>
      <c r="S251" s="2169"/>
      <c r="T251" s="2631">
        <f t="shared" si="133"/>
        <v>0</v>
      </c>
      <c r="U251" s="2632">
        <f t="shared" si="133"/>
        <v>0</v>
      </c>
      <c r="V251" s="2632">
        <f t="shared" si="133"/>
        <v>0</v>
      </c>
      <c r="W251" s="2632">
        <f t="shared" si="133"/>
        <v>0</v>
      </c>
      <c r="X251" s="2632">
        <f t="shared" si="133"/>
        <v>0</v>
      </c>
      <c r="Y251" s="2633">
        <f t="shared" si="133"/>
        <v>0</v>
      </c>
      <c r="Z251" s="1592"/>
      <c r="AA251" s="1623"/>
      <c r="AB251" s="1647"/>
    </row>
    <row r="252" spans="1:28" s="1563" customFormat="1">
      <c r="A252" s="1650">
        <v>17</v>
      </c>
      <c r="B252" s="1595" t="s">
        <v>956</v>
      </c>
      <c r="C252" s="1596">
        <v>0.02</v>
      </c>
      <c r="D252" s="1546" t="s">
        <v>593</v>
      </c>
      <c r="E252" s="2169"/>
      <c r="F252" s="2631">
        <f t="shared" si="125"/>
        <v>0</v>
      </c>
      <c r="G252" s="2632">
        <f t="shared" si="131"/>
        <v>0</v>
      </c>
      <c r="H252" s="2632">
        <f t="shared" si="131"/>
        <v>0</v>
      </c>
      <c r="I252" s="2632">
        <f t="shared" si="131"/>
        <v>0</v>
      </c>
      <c r="J252" s="2632">
        <f t="shared" si="131"/>
        <v>0</v>
      </c>
      <c r="K252" s="2633">
        <f t="shared" si="131"/>
        <v>0</v>
      </c>
      <c r="L252" s="2169"/>
      <c r="M252" s="2631">
        <f t="shared" si="132"/>
        <v>780</v>
      </c>
      <c r="N252" s="2632">
        <f t="shared" si="132"/>
        <v>1746.1</v>
      </c>
      <c r="O252" s="2632">
        <f t="shared" si="132"/>
        <v>2712.2</v>
      </c>
      <c r="P252" s="2632">
        <f t="shared" si="132"/>
        <v>3760.72</v>
      </c>
      <c r="Q252" s="2632">
        <f t="shared" si="132"/>
        <v>5796.08</v>
      </c>
      <c r="R252" s="2633">
        <f t="shared" si="132"/>
        <v>7831.4400000000005</v>
      </c>
      <c r="S252" s="2169"/>
      <c r="T252" s="2631">
        <f t="shared" si="133"/>
        <v>0</v>
      </c>
      <c r="U252" s="2632">
        <f t="shared" si="133"/>
        <v>0</v>
      </c>
      <c r="V252" s="2632">
        <f t="shared" si="133"/>
        <v>0</v>
      </c>
      <c r="W252" s="2632">
        <f t="shared" si="133"/>
        <v>0</v>
      </c>
      <c r="X252" s="2632">
        <f t="shared" si="133"/>
        <v>0</v>
      </c>
      <c r="Y252" s="2633">
        <f t="shared" si="133"/>
        <v>0</v>
      </c>
      <c r="Z252" s="1592"/>
      <c r="AA252" s="1623"/>
      <c r="AB252" s="1647"/>
    </row>
    <row r="253" spans="1:28" s="1563" customFormat="1" ht="24">
      <c r="A253" s="1650">
        <v>18</v>
      </c>
      <c r="B253" s="1595" t="s">
        <v>957</v>
      </c>
      <c r="C253" s="1596">
        <v>0.04</v>
      </c>
      <c r="D253" s="1546" t="s">
        <v>594</v>
      </c>
      <c r="E253" s="2169">
        <v>523</v>
      </c>
      <c r="F253" s="2631">
        <f t="shared" si="125"/>
        <v>633</v>
      </c>
      <c r="G253" s="2632">
        <f t="shared" si="131"/>
        <v>743</v>
      </c>
      <c r="H253" s="2632">
        <f t="shared" si="131"/>
        <v>853</v>
      </c>
      <c r="I253" s="2632">
        <f t="shared" si="131"/>
        <v>963</v>
      </c>
      <c r="J253" s="2632">
        <f t="shared" si="131"/>
        <v>1073</v>
      </c>
      <c r="K253" s="2633">
        <f t="shared" si="131"/>
        <v>1183</v>
      </c>
      <c r="L253" s="2169"/>
      <c r="M253" s="2631">
        <f t="shared" si="132"/>
        <v>0</v>
      </c>
      <c r="N253" s="2632">
        <f t="shared" si="132"/>
        <v>0</v>
      </c>
      <c r="O253" s="2632">
        <f t="shared" si="132"/>
        <v>0</v>
      </c>
      <c r="P253" s="2632">
        <f t="shared" si="132"/>
        <v>0</v>
      </c>
      <c r="Q253" s="2632">
        <f t="shared" si="132"/>
        <v>0</v>
      </c>
      <c r="R253" s="2633">
        <f t="shared" si="132"/>
        <v>0</v>
      </c>
      <c r="S253" s="2169"/>
      <c r="T253" s="2631">
        <f t="shared" si="133"/>
        <v>704</v>
      </c>
      <c r="U253" s="2632">
        <f t="shared" si="133"/>
        <v>1513.76</v>
      </c>
      <c r="V253" s="2632">
        <f t="shared" si="133"/>
        <v>2923.48</v>
      </c>
      <c r="W253" s="2632">
        <f t="shared" si="133"/>
        <v>4807.2</v>
      </c>
      <c r="X253" s="2632">
        <f t="shared" si="133"/>
        <v>6776.48</v>
      </c>
      <c r="Y253" s="2633">
        <f t="shared" si="133"/>
        <v>8745.76</v>
      </c>
      <c r="Z253" s="1592"/>
      <c r="AA253" s="1623"/>
      <c r="AB253" s="1647"/>
    </row>
    <row r="254" spans="1:28" s="1563" customFormat="1">
      <c r="A254" s="1650">
        <v>19</v>
      </c>
      <c r="B254" s="1595" t="s">
        <v>958</v>
      </c>
      <c r="C254" s="1596">
        <v>0.04</v>
      </c>
      <c r="D254" s="1546" t="s">
        <v>595</v>
      </c>
      <c r="E254" s="2169">
        <v>687</v>
      </c>
      <c r="F254" s="2631">
        <f t="shared" si="125"/>
        <v>731</v>
      </c>
      <c r="G254" s="2632">
        <f t="shared" si="131"/>
        <v>775</v>
      </c>
      <c r="H254" s="2632">
        <f t="shared" si="131"/>
        <v>819</v>
      </c>
      <c r="I254" s="2632">
        <f t="shared" si="131"/>
        <v>863</v>
      </c>
      <c r="J254" s="2632">
        <f t="shared" si="131"/>
        <v>907</v>
      </c>
      <c r="K254" s="2633">
        <f t="shared" si="131"/>
        <v>951</v>
      </c>
      <c r="L254" s="2169"/>
      <c r="M254" s="2631">
        <f t="shared" si="132"/>
        <v>0</v>
      </c>
      <c r="N254" s="2632">
        <f t="shared" si="132"/>
        <v>0</v>
      </c>
      <c r="O254" s="2632">
        <f t="shared" si="132"/>
        <v>0</v>
      </c>
      <c r="P254" s="2632">
        <f t="shared" si="132"/>
        <v>0</v>
      </c>
      <c r="Q254" s="2632">
        <f t="shared" si="132"/>
        <v>0</v>
      </c>
      <c r="R254" s="2633">
        <f t="shared" si="132"/>
        <v>0</v>
      </c>
      <c r="S254" s="2169"/>
      <c r="T254" s="2631">
        <f t="shared" si="133"/>
        <v>0</v>
      </c>
      <c r="U254" s="2632">
        <f t="shared" si="133"/>
        <v>0</v>
      </c>
      <c r="V254" s="2632">
        <f t="shared" si="133"/>
        <v>0</v>
      </c>
      <c r="W254" s="2632">
        <f t="shared" si="133"/>
        <v>0</v>
      </c>
      <c r="X254" s="2632">
        <f t="shared" si="133"/>
        <v>0</v>
      </c>
      <c r="Y254" s="2633">
        <f t="shared" si="133"/>
        <v>0</v>
      </c>
      <c r="Z254" s="1592"/>
      <c r="AA254" s="1623"/>
      <c r="AB254" s="1647"/>
    </row>
    <row r="255" spans="1:28" s="1563" customFormat="1">
      <c r="A255" s="1650">
        <v>20</v>
      </c>
      <c r="B255" s="1595" t="s">
        <v>970</v>
      </c>
      <c r="C255" s="1596">
        <v>0.04</v>
      </c>
      <c r="D255" s="1648" t="s">
        <v>606</v>
      </c>
      <c r="E255" s="2169"/>
      <c r="F255" s="2631">
        <f t="shared" si="125"/>
        <v>0</v>
      </c>
      <c r="G255" s="2632">
        <f t="shared" si="131"/>
        <v>0</v>
      </c>
      <c r="H255" s="2632">
        <f t="shared" si="131"/>
        <v>0</v>
      </c>
      <c r="I255" s="2632">
        <f t="shared" si="131"/>
        <v>0</v>
      </c>
      <c r="J255" s="2632">
        <f t="shared" si="131"/>
        <v>0</v>
      </c>
      <c r="K255" s="2633">
        <f t="shared" si="131"/>
        <v>0</v>
      </c>
      <c r="L255" s="2169"/>
      <c r="M255" s="2631">
        <f t="shared" si="132"/>
        <v>0</v>
      </c>
      <c r="N255" s="2632">
        <f t="shared" si="132"/>
        <v>0</v>
      </c>
      <c r="O255" s="2632">
        <f t="shared" si="132"/>
        <v>0</v>
      </c>
      <c r="P255" s="2632">
        <f t="shared" si="132"/>
        <v>0</v>
      </c>
      <c r="Q255" s="2632">
        <f t="shared" si="132"/>
        <v>0</v>
      </c>
      <c r="R255" s="2633">
        <f t="shared" si="132"/>
        <v>0</v>
      </c>
      <c r="S255" s="2169"/>
      <c r="T255" s="2631">
        <f t="shared" si="133"/>
        <v>0</v>
      </c>
      <c r="U255" s="2632">
        <f t="shared" si="133"/>
        <v>0</v>
      </c>
      <c r="V255" s="2632">
        <f t="shared" si="133"/>
        <v>0</v>
      </c>
      <c r="W255" s="2632">
        <f t="shared" si="133"/>
        <v>0</v>
      </c>
      <c r="X255" s="2632">
        <f t="shared" si="133"/>
        <v>0</v>
      </c>
      <c r="Y255" s="2633">
        <f t="shared" si="133"/>
        <v>0</v>
      </c>
      <c r="Z255" s="1592"/>
      <c r="AA255" s="1623"/>
      <c r="AB255" s="1647"/>
    </row>
    <row r="256" spans="1:28" s="1563" customFormat="1" ht="24.75" thickBot="1">
      <c r="A256" s="1650">
        <v>21</v>
      </c>
      <c r="B256" s="1595" t="s">
        <v>960</v>
      </c>
      <c r="C256" s="1600">
        <v>0.2</v>
      </c>
      <c r="D256" s="1546" t="s">
        <v>911</v>
      </c>
      <c r="E256" s="2169">
        <v>76</v>
      </c>
      <c r="F256" s="2634">
        <f t="shared" ref="F256:K256" si="134">E256+F234</f>
        <v>152</v>
      </c>
      <c r="G256" s="2635">
        <f t="shared" si="134"/>
        <v>228</v>
      </c>
      <c r="H256" s="2635">
        <f t="shared" si="134"/>
        <v>304</v>
      </c>
      <c r="I256" s="2635">
        <f t="shared" si="134"/>
        <v>378</v>
      </c>
      <c r="J256" s="2635">
        <f t="shared" si="134"/>
        <v>378</v>
      </c>
      <c r="K256" s="2636">
        <f t="shared" si="134"/>
        <v>378</v>
      </c>
      <c r="L256" s="2169"/>
      <c r="M256" s="2634">
        <f t="shared" si="132"/>
        <v>0</v>
      </c>
      <c r="N256" s="2635">
        <f t="shared" si="132"/>
        <v>0</v>
      </c>
      <c r="O256" s="2635">
        <f t="shared" si="132"/>
        <v>0</v>
      </c>
      <c r="P256" s="2635">
        <f t="shared" si="132"/>
        <v>0</v>
      </c>
      <c r="Q256" s="2635">
        <f t="shared" si="132"/>
        <v>0</v>
      </c>
      <c r="R256" s="2636">
        <f t="shared" si="132"/>
        <v>0</v>
      </c>
      <c r="S256" s="2169"/>
      <c r="T256" s="2634">
        <f t="shared" si="133"/>
        <v>0</v>
      </c>
      <c r="U256" s="2635">
        <f t="shared" si="133"/>
        <v>0</v>
      </c>
      <c r="V256" s="2635">
        <f t="shared" si="133"/>
        <v>0</v>
      </c>
      <c r="W256" s="2635">
        <f t="shared" si="133"/>
        <v>0</v>
      </c>
      <c r="X256" s="2635">
        <f t="shared" si="133"/>
        <v>0</v>
      </c>
      <c r="Y256" s="2636">
        <f t="shared" si="133"/>
        <v>0</v>
      </c>
      <c r="Z256" s="1592"/>
      <c r="AA256" s="1623"/>
      <c r="AB256" s="1647"/>
    </row>
    <row r="257" spans="1:28" s="1563" customFormat="1" ht="13.5" thickBot="1">
      <c r="A257" s="1615" t="s">
        <v>284</v>
      </c>
      <c r="B257" s="1616"/>
      <c r="C257" s="1616"/>
      <c r="D257" s="1586" t="s">
        <v>285</v>
      </c>
      <c r="E257" s="2642">
        <f t="shared" ref="E257:Y257" si="135">SUM(E258:E278)</f>
        <v>64558</v>
      </c>
      <c r="F257" s="2637">
        <f t="shared" si="135"/>
        <v>62768</v>
      </c>
      <c r="G257" s="1098">
        <f t="shared" si="135"/>
        <v>64596.42</v>
      </c>
      <c r="H257" s="1098">
        <f t="shared" si="135"/>
        <v>69581.72</v>
      </c>
      <c r="I257" s="1999">
        <f t="shared" si="135"/>
        <v>78867.44</v>
      </c>
      <c r="J257" s="1098">
        <f t="shared" si="135"/>
        <v>85194.32</v>
      </c>
      <c r="K257" s="1098">
        <f t="shared" si="135"/>
        <v>82929.2</v>
      </c>
      <c r="L257" s="1639">
        <f t="shared" si="135"/>
        <v>39024</v>
      </c>
      <c r="M257" s="1643">
        <f t="shared" si="135"/>
        <v>38244</v>
      </c>
      <c r="N257" s="1644">
        <f t="shared" si="135"/>
        <v>46582.9</v>
      </c>
      <c r="O257" s="1644">
        <f t="shared" si="135"/>
        <v>45616.800000000003</v>
      </c>
      <c r="P257" s="1645">
        <f t="shared" si="135"/>
        <v>48689.279999999999</v>
      </c>
      <c r="Q257" s="1644">
        <f t="shared" si="135"/>
        <v>95995.92</v>
      </c>
      <c r="R257" s="1644">
        <f t="shared" si="135"/>
        <v>93960.56</v>
      </c>
      <c r="S257" s="1639">
        <f t="shared" si="135"/>
        <v>17609</v>
      </c>
      <c r="T257" s="1643">
        <f t="shared" si="135"/>
        <v>16905</v>
      </c>
      <c r="U257" s="1644">
        <f t="shared" si="135"/>
        <v>18739.240000000002</v>
      </c>
      <c r="V257" s="1644">
        <f t="shared" si="135"/>
        <v>32328.52</v>
      </c>
      <c r="W257" s="1645">
        <f t="shared" si="135"/>
        <v>42294.8</v>
      </c>
      <c r="X257" s="1644">
        <f t="shared" si="135"/>
        <v>42464.520000000004</v>
      </c>
      <c r="Y257" s="1651">
        <f t="shared" si="135"/>
        <v>40495.24</v>
      </c>
      <c r="Z257" s="1592"/>
      <c r="AA257" s="1623"/>
      <c r="AB257" s="1647"/>
    </row>
    <row r="258" spans="1:28">
      <c r="A258" s="1594">
        <v>1</v>
      </c>
      <c r="B258" s="1652" t="s">
        <v>949</v>
      </c>
      <c r="C258" s="1611">
        <v>0</v>
      </c>
      <c r="D258" s="279" t="s">
        <v>760</v>
      </c>
      <c r="E258" s="2643">
        <f>E192-E236</f>
        <v>16</v>
      </c>
      <c r="F258" s="2628">
        <f t="shared" ref="F258:K259" si="136">F192-F236</f>
        <v>16</v>
      </c>
      <c r="G258" s="2629">
        <f t="shared" si="136"/>
        <v>16</v>
      </c>
      <c r="H258" s="2629">
        <f t="shared" si="136"/>
        <v>16</v>
      </c>
      <c r="I258" s="2629">
        <f t="shared" si="136"/>
        <v>16</v>
      </c>
      <c r="J258" s="2629">
        <f t="shared" si="136"/>
        <v>16</v>
      </c>
      <c r="K258" s="2630">
        <f t="shared" si="136"/>
        <v>16</v>
      </c>
      <c r="L258" s="2646">
        <f t="shared" ref="L258:L276" si="137">L192-L236</f>
        <v>0</v>
      </c>
      <c r="M258" s="2647">
        <f t="shared" ref="M258:R259" si="138">M192-M236</f>
        <v>0</v>
      </c>
      <c r="N258" s="2629">
        <f t="shared" si="138"/>
        <v>0</v>
      </c>
      <c r="O258" s="2629">
        <f t="shared" si="138"/>
        <v>0</v>
      </c>
      <c r="P258" s="2629">
        <f t="shared" si="138"/>
        <v>0</v>
      </c>
      <c r="Q258" s="2629">
        <f t="shared" si="138"/>
        <v>0</v>
      </c>
      <c r="R258" s="2630">
        <f t="shared" si="138"/>
        <v>0</v>
      </c>
      <c r="S258" s="2643">
        <f t="shared" ref="S258:S276" si="139">S192-S236</f>
        <v>0</v>
      </c>
      <c r="T258" s="2628">
        <f t="shared" ref="T258:Y259" si="140">T192-T236</f>
        <v>0</v>
      </c>
      <c r="U258" s="2629">
        <f t="shared" si="140"/>
        <v>0</v>
      </c>
      <c r="V258" s="2629">
        <f t="shared" si="140"/>
        <v>0</v>
      </c>
      <c r="W258" s="2629">
        <f t="shared" si="140"/>
        <v>0</v>
      </c>
      <c r="X258" s="2629">
        <f t="shared" si="140"/>
        <v>0</v>
      </c>
      <c r="Y258" s="2630">
        <f t="shared" si="140"/>
        <v>0</v>
      </c>
      <c r="Z258" s="1592"/>
      <c r="AA258" s="1623"/>
    </row>
    <row r="259" spans="1:28">
      <c r="A259" s="1594">
        <v>2</v>
      </c>
      <c r="B259" s="1595" t="s">
        <v>950</v>
      </c>
      <c r="C259" s="1596">
        <v>0.03</v>
      </c>
      <c r="D259" s="1648" t="s">
        <v>598</v>
      </c>
      <c r="E259" s="2643">
        <f>E193-E237</f>
        <v>150</v>
      </c>
      <c r="F259" s="2631">
        <f t="shared" si="136"/>
        <v>139</v>
      </c>
      <c r="G259" s="2632">
        <f t="shared" si="136"/>
        <v>128</v>
      </c>
      <c r="H259" s="2632">
        <f t="shared" si="136"/>
        <v>117</v>
      </c>
      <c r="I259" s="2632">
        <f t="shared" si="136"/>
        <v>106</v>
      </c>
      <c r="J259" s="2632">
        <f t="shared" si="136"/>
        <v>95</v>
      </c>
      <c r="K259" s="2633">
        <f t="shared" si="136"/>
        <v>84</v>
      </c>
      <c r="L259" s="2648">
        <f t="shared" si="137"/>
        <v>0</v>
      </c>
      <c r="M259" s="2649">
        <f t="shared" si="138"/>
        <v>0</v>
      </c>
      <c r="N259" s="2632">
        <f t="shared" si="138"/>
        <v>0</v>
      </c>
      <c r="O259" s="2632">
        <f t="shared" si="138"/>
        <v>0</v>
      </c>
      <c r="P259" s="2632">
        <f t="shared" si="138"/>
        <v>0</v>
      </c>
      <c r="Q259" s="2632">
        <f t="shared" si="138"/>
        <v>0</v>
      </c>
      <c r="R259" s="2633">
        <f t="shared" si="138"/>
        <v>0</v>
      </c>
      <c r="S259" s="2643">
        <f t="shared" si="139"/>
        <v>0</v>
      </c>
      <c r="T259" s="2631">
        <f t="shared" si="140"/>
        <v>0</v>
      </c>
      <c r="U259" s="2632">
        <f t="shared" si="140"/>
        <v>0</v>
      </c>
      <c r="V259" s="2632">
        <f t="shared" si="140"/>
        <v>0</v>
      </c>
      <c r="W259" s="2632">
        <f t="shared" si="140"/>
        <v>0</v>
      </c>
      <c r="X259" s="2632">
        <f t="shared" si="140"/>
        <v>0</v>
      </c>
      <c r="Y259" s="2633">
        <f t="shared" si="140"/>
        <v>0</v>
      </c>
      <c r="Z259" s="1592"/>
      <c r="AA259" s="1623"/>
    </row>
    <row r="260" spans="1:28">
      <c r="A260" s="1594">
        <v>3</v>
      </c>
      <c r="B260" s="1595">
        <v>911301</v>
      </c>
      <c r="C260" s="1596">
        <v>0.1</v>
      </c>
      <c r="D260" s="1648" t="s">
        <v>599</v>
      </c>
      <c r="E260" s="2643">
        <f>E194-E238</f>
        <v>0</v>
      </c>
      <c r="F260" s="2631">
        <f t="shared" ref="F260:K260" si="141">F194-F238</f>
        <v>0</v>
      </c>
      <c r="G260" s="2632">
        <f t="shared" si="141"/>
        <v>0</v>
      </c>
      <c r="H260" s="2632">
        <f t="shared" si="141"/>
        <v>0</v>
      </c>
      <c r="I260" s="2632">
        <f t="shared" si="141"/>
        <v>0</v>
      </c>
      <c r="J260" s="2632">
        <f t="shared" si="141"/>
        <v>0</v>
      </c>
      <c r="K260" s="2633">
        <f t="shared" si="141"/>
        <v>0</v>
      </c>
      <c r="L260" s="2648">
        <f t="shared" si="137"/>
        <v>0</v>
      </c>
      <c r="M260" s="2649">
        <f t="shared" ref="M260:R260" si="142">M194-M238</f>
        <v>0</v>
      </c>
      <c r="N260" s="2632">
        <f t="shared" si="142"/>
        <v>0</v>
      </c>
      <c r="O260" s="2632">
        <f t="shared" si="142"/>
        <v>0</v>
      </c>
      <c r="P260" s="2632">
        <f t="shared" si="142"/>
        <v>0</v>
      </c>
      <c r="Q260" s="2632">
        <f t="shared" si="142"/>
        <v>0</v>
      </c>
      <c r="R260" s="2633">
        <f t="shared" si="142"/>
        <v>0</v>
      </c>
      <c r="S260" s="2643">
        <f t="shared" si="139"/>
        <v>0</v>
      </c>
      <c r="T260" s="2631">
        <f t="shared" ref="T260:Y260" si="143">T194-T238</f>
        <v>0</v>
      </c>
      <c r="U260" s="2632">
        <f t="shared" si="143"/>
        <v>0</v>
      </c>
      <c r="V260" s="2632">
        <f t="shared" si="143"/>
        <v>0</v>
      </c>
      <c r="W260" s="2632">
        <f t="shared" si="143"/>
        <v>0</v>
      </c>
      <c r="X260" s="2632">
        <f t="shared" si="143"/>
        <v>0</v>
      </c>
      <c r="Y260" s="2633">
        <f t="shared" si="143"/>
        <v>0</v>
      </c>
      <c r="Z260" s="1592"/>
      <c r="AA260" s="1623"/>
    </row>
    <row r="261" spans="1:28">
      <c r="A261" s="1594">
        <v>4</v>
      </c>
      <c r="B261" s="1595">
        <v>911302</v>
      </c>
      <c r="C261" s="1596">
        <v>0.1</v>
      </c>
      <c r="D261" s="1648" t="s">
        <v>600</v>
      </c>
      <c r="E261" s="2643">
        <f t="shared" ref="E261:E278" si="144">E195-E239</f>
        <v>0</v>
      </c>
      <c r="F261" s="2631">
        <f t="shared" ref="F261:K261" si="145">F195-F239</f>
        <v>0</v>
      </c>
      <c r="G261" s="2632">
        <f t="shared" si="145"/>
        <v>0</v>
      </c>
      <c r="H261" s="2632">
        <f t="shared" si="145"/>
        <v>0</v>
      </c>
      <c r="I261" s="2632">
        <f t="shared" si="145"/>
        <v>0</v>
      </c>
      <c r="J261" s="2632">
        <f t="shared" si="145"/>
        <v>0</v>
      </c>
      <c r="K261" s="2633">
        <f t="shared" si="145"/>
        <v>0</v>
      </c>
      <c r="L261" s="2648">
        <f t="shared" si="137"/>
        <v>0</v>
      </c>
      <c r="M261" s="2649">
        <f t="shared" ref="M261:R261" si="146">M195-M239</f>
        <v>0</v>
      </c>
      <c r="N261" s="2632">
        <f t="shared" si="146"/>
        <v>0</v>
      </c>
      <c r="O261" s="2632">
        <f t="shared" si="146"/>
        <v>0</v>
      </c>
      <c r="P261" s="2632">
        <f t="shared" si="146"/>
        <v>0</v>
      </c>
      <c r="Q261" s="2632">
        <f t="shared" si="146"/>
        <v>0</v>
      </c>
      <c r="R261" s="2633">
        <f t="shared" si="146"/>
        <v>0</v>
      </c>
      <c r="S261" s="2643">
        <f t="shared" si="139"/>
        <v>0</v>
      </c>
      <c r="T261" s="2631">
        <f t="shared" ref="T261:Y261" si="147">T195-T239</f>
        <v>0</v>
      </c>
      <c r="U261" s="2632">
        <f t="shared" si="147"/>
        <v>0</v>
      </c>
      <c r="V261" s="2632">
        <f t="shared" si="147"/>
        <v>0</v>
      </c>
      <c r="W261" s="2632">
        <f t="shared" si="147"/>
        <v>0</v>
      </c>
      <c r="X261" s="2632">
        <f t="shared" si="147"/>
        <v>0</v>
      </c>
      <c r="Y261" s="2633">
        <f t="shared" si="147"/>
        <v>0</v>
      </c>
      <c r="Z261" s="1592"/>
      <c r="AA261" s="1623"/>
    </row>
    <row r="262" spans="1:28">
      <c r="A262" s="1594">
        <v>5</v>
      </c>
      <c r="B262" s="1595" t="s">
        <v>967</v>
      </c>
      <c r="C262" s="1596">
        <v>0.1</v>
      </c>
      <c r="D262" s="1546" t="s">
        <v>579</v>
      </c>
      <c r="E262" s="2643">
        <f t="shared" si="144"/>
        <v>0</v>
      </c>
      <c r="F262" s="2631">
        <f t="shared" ref="F262:K266" si="148">F196-F240</f>
        <v>0</v>
      </c>
      <c r="G262" s="2632">
        <f t="shared" si="148"/>
        <v>0</v>
      </c>
      <c r="H262" s="2632">
        <f t="shared" si="148"/>
        <v>0</v>
      </c>
      <c r="I262" s="2632">
        <f t="shared" si="148"/>
        <v>0</v>
      </c>
      <c r="J262" s="2632">
        <f t="shared" si="148"/>
        <v>0</v>
      </c>
      <c r="K262" s="2633">
        <f t="shared" si="148"/>
        <v>0</v>
      </c>
      <c r="L262" s="2648">
        <f t="shared" si="137"/>
        <v>0</v>
      </c>
      <c r="M262" s="2649">
        <f t="shared" ref="M262:R266" si="149">M196-M240</f>
        <v>0</v>
      </c>
      <c r="N262" s="2632">
        <f t="shared" si="149"/>
        <v>0</v>
      </c>
      <c r="O262" s="2632">
        <f t="shared" si="149"/>
        <v>0</v>
      </c>
      <c r="P262" s="2632">
        <f t="shared" si="149"/>
        <v>0</v>
      </c>
      <c r="Q262" s="2632">
        <f t="shared" si="149"/>
        <v>0</v>
      </c>
      <c r="R262" s="2633">
        <f t="shared" si="149"/>
        <v>0</v>
      </c>
      <c r="S262" s="2643">
        <f t="shared" si="139"/>
        <v>0</v>
      </c>
      <c r="T262" s="2631">
        <f t="shared" ref="T262:Y266" si="150">T196-T240</f>
        <v>0</v>
      </c>
      <c r="U262" s="2632">
        <f t="shared" si="150"/>
        <v>0</v>
      </c>
      <c r="V262" s="2632">
        <f t="shared" si="150"/>
        <v>0</v>
      </c>
      <c r="W262" s="2632">
        <f t="shared" si="150"/>
        <v>0</v>
      </c>
      <c r="X262" s="2632">
        <f t="shared" si="150"/>
        <v>0</v>
      </c>
      <c r="Y262" s="2633">
        <f t="shared" si="150"/>
        <v>0</v>
      </c>
      <c r="Z262" s="1592"/>
      <c r="AA262" s="1623"/>
    </row>
    <row r="263" spans="1:28">
      <c r="A263" s="1594">
        <v>6</v>
      </c>
      <c r="B263" s="1595" t="s">
        <v>968</v>
      </c>
      <c r="C263" s="1596">
        <v>0.1</v>
      </c>
      <c r="D263" s="1546" t="s">
        <v>1391</v>
      </c>
      <c r="E263" s="2643">
        <f t="shared" si="144"/>
        <v>497</v>
      </c>
      <c r="F263" s="2631">
        <f t="shared" si="148"/>
        <v>421</v>
      </c>
      <c r="G263" s="2632">
        <f t="shared" si="148"/>
        <v>345</v>
      </c>
      <c r="H263" s="2632">
        <f t="shared" si="148"/>
        <v>269</v>
      </c>
      <c r="I263" s="2632">
        <f t="shared" si="148"/>
        <v>193</v>
      </c>
      <c r="J263" s="2632">
        <f t="shared" si="148"/>
        <v>117</v>
      </c>
      <c r="K263" s="2633">
        <f t="shared" si="148"/>
        <v>41</v>
      </c>
      <c r="L263" s="2648">
        <f t="shared" si="137"/>
        <v>0</v>
      </c>
      <c r="M263" s="2649">
        <f t="shared" si="149"/>
        <v>0</v>
      </c>
      <c r="N263" s="2632">
        <f t="shared" si="149"/>
        <v>0</v>
      </c>
      <c r="O263" s="2632">
        <f t="shared" si="149"/>
        <v>0</v>
      </c>
      <c r="P263" s="2632">
        <f t="shared" si="149"/>
        <v>0</v>
      </c>
      <c r="Q263" s="2632">
        <f t="shared" si="149"/>
        <v>0</v>
      </c>
      <c r="R263" s="2633">
        <f t="shared" si="149"/>
        <v>0</v>
      </c>
      <c r="S263" s="2643">
        <f t="shared" si="139"/>
        <v>0</v>
      </c>
      <c r="T263" s="2631">
        <f t="shared" si="150"/>
        <v>0</v>
      </c>
      <c r="U263" s="2632">
        <f t="shared" si="150"/>
        <v>0</v>
      </c>
      <c r="V263" s="2632">
        <f t="shared" si="150"/>
        <v>0</v>
      </c>
      <c r="W263" s="2632">
        <f t="shared" si="150"/>
        <v>0</v>
      </c>
      <c r="X263" s="2632">
        <f t="shared" si="150"/>
        <v>0</v>
      </c>
      <c r="Y263" s="2633">
        <f t="shared" si="150"/>
        <v>0</v>
      </c>
      <c r="Z263" s="1592"/>
      <c r="AA263" s="1623"/>
    </row>
    <row r="264" spans="1:28" ht="24">
      <c r="A264" s="1594">
        <v>7</v>
      </c>
      <c r="B264" s="1595" t="s">
        <v>959</v>
      </c>
      <c r="C264" s="1596">
        <v>0.1</v>
      </c>
      <c r="D264" s="1546" t="s">
        <v>948</v>
      </c>
      <c r="E264" s="2643">
        <f t="shared" si="144"/>
        <v>0</v>
      </c>
      <c r="F264" s="2631">
        <f t="shared" si="148"/>
        <v>0</v>
      </c>
      <c r="G264" s="2632">
        <f t="shared" si="148"/>
        <v>0</v>
      </c>
      <c r="H264" s="2632">
        <f t="shared" si="148"/>
        <v>0</v>
      </c>
      <c r="I264" s="2632">
        <f t="shared" si="148"/>
        <v>0</v>
      </c>
      <c r="J264" s="2632">
        <f t="shared" si="148"/>
        <v>0</v>
      </c>
      <c r="K264" s="2633">
        <f t="shared" si="148"/>
        <v>0</v>
      </c>
      <c r="L264" s="2648">
        <f t="shared" si="137"/>
        <v>0</v>
      </c>
      <c r="M264" s="2649">
        <f t="shared" si="149"/>
        <v>0</v>
      </c>
      <c r="N264" s="2632">
        <f t="shared" si="149"/>
        <v>0</v>
      </c>
      <c r="O264" s="2632">
        <f t="shared" si="149"/>
        <v>0</v>
      </c>
      <c r="P264" s="2632">
        <f t="shared" si="149"/>
        <v>0</v>
      </c>
      <c r="Q264" s="2632">
        <f t="shared" si="149"/>
        <v>0</v>
      </c>
      <c r="R264" s="2633">
        <f t="shared" si="149"/>
        <v>0</v>
      </c>
      <c r="S264" s="2643">
        <f t="shared" si="139"/>
        <v>0</v>
      </c>
      <c r="T264" s="2631">
        <f t="shared" si="150"/>
        <v>0</v>
      </c>
      <c r="U264" s="2632">
        <f t="shared" si="150"/>
        <v>0</v>
      </c>
      <c r="V264" s="2632">
        <f t="shared" si="150"/>
        <v>0</v>
      </c>
      <c r="W264" s="2632">
        <f t="shared" si="150"/>
        <v>0</v>
      </c>
      <c r="X264" s="2632">
        <f t="shared" si="150"/>
        <v>0</v>
      </c>
      <c r="Y264" s="2633">
        <f t="shared" si="150"/>
        <v>0</v>
      </c>
      <c r="Z264" s="1592"/>
      <c r="AA264" s="1623"/>
    </row>
    <row r="265" spans="1:28">
      <c r="A265" s="1594">
        <v>8</v>
      </c>
      <c r="B265" s="1595" t="s">
        <v>969</v>
      </c>
      <c r="C265" s="1596">
        <v>0.1</v>
      </c>
      <c r="D265" s="1546" t="s">
        <v>966</v>
      </c>
      <c r="E265" s="2643">
        <f t="shared" si="144"/>
        <v>198</v>
      </c>
      <c r="F265" s="2631">
        <f t="shared" si="148"/>
        <v>139</v>
      </c>
      <c r="G265" s="2632">
        <f t="shared" si="148"/>
        <v>264.5</v>
      </c>
      <c r="H265" s="2632">
        <f t="shared" si="148"/>
        <v>185</v>
      </c>
      <c r="I265" s="2632">
        <f t="shared" si="148"/>
        <v>143.5</v>
      </c>
      <c r="J265" s="2632">
        <f t="shared" si="148"/>
        <v>123</v>
      </c>
      <c r="K265" s="2633">
        <f t="shared" si="148"/>
        <v>102.5</v>
      </c>
      <c r="L265" s="2648">
        <f t="shared" si="137"/>
        <v>0</v>
      </c>
      <c r="M265" s="2649">
        <f t="shared" si="149"/>
        <v>0</v>
      </c>
      <c r="N265" s="2632">
        <f t="shared" si="149"/>
        <v>0</v>
      </c>
      <c r="O265" s="2632">
        <f t="shared" si="149"/>
        <v>0</v>
      </c>
      <c r="P265" s="2632">
        <f t="shared" si="149"/>
        <v>0</v>
      </c>
      <c r="Q265" s="2632">
        <f t="shared" si="149"/>
        <v>0</v>
      </c>
      <c r="R265" s="2633">
        <f t="shared" si="149"/>
        <v>0</v>
      </c>
      <c r="S265" s="2643">
        <f t="shared" si="139"/>
        <v>0</v>
      </c>
      <c r="T265" s="2631">
        <f t="shared" si="150"/>
        <v>0</v>
      </c>
      <c r="U265" s="2632">
        <f t="shared" si="150"/>
        <v>0</v>
      </c>
      <c r="V265" s="2632">
        <f t="shared" si="150"/>
        <v>0</v>
      </c>
      <c r="W265" s="2632">
        <f t="shared" si="150"/>
        <v>0</v>
      </c>
      <c r="X265" s="2632">
        <f t="shared" si="150"/>
        <v>0</v>
      </c>
      <c r="Y265" s="2633">
        <f t="shared" si="150"/>
        <v>0</v>
      </c>
      <c r="Z265" s="1592"/>
      <c r="AA265" s="1623"/>
    </row>
    <row r="266" spans="1:28">
      <c r="A266" s="1650">
        <v>9</v>
      </c>
      <c r="B266" s="1595">
        <v>911306</v>
      </c>
      <c r="C266" s="1596">
        <v>0.1</v>
      </c>
      <c r="D266" s="1546" t="s">
        <v>1471</v>
      </c>
      <c r="E266" s="2643">
        <f t="shared" si="144"/>
        <v>71</v>
      </c>
      <c r="F266" s="2631">
        <f t="shared" si="148"/>
        <v>49</v>
      </c>
      <c r="G266" s="2632">
        <f t="shared" si="148"/>
        <v>27</v>
      </c>
      <c r="H266" s="2632">
        <f t="shared" si="148"/>
        <v>5</v>
      </c>
      <c r="I266" s="2632">
        <f t="shared" si="148"/>
        <v>0</v>
      </c>
      <c r="J266" s="2632">
        <f t="shared" si="148"/>
        <v>0</v>
      </c>
      <c r="K266" s="2633">
        <f t="shared" si="148"/>
        <v>0</v>
      </c>
      <c r="L266" s="2648">
        <f t="shared" si="137"/>
        <v>0</v>
      </c>
      <c r="M266" s="2649">
        <f t="shared" si="149"/>
        <v>0</v>
      </c>
      <c r="N266" s="2632">
        <f t="shared" si="149"/>
        <v>0</v>
      </c>
      <c r="O266" s="2632">
        <f t="shared" si="149"/>
        <v>0</v>
      </c>
      <c r="P266" s="2632">
        <f t="shared" si="149"/>
        <v>0</v>
      </c>
      <c r="Q266" s="2632">
        <f t="shared" si="149"/>
        <v>0</v>
      </c>
      <c r="R266" s="2633">
        <f t="shared" si="149"/>
        <v>0</v>
      </c>
      <c r="S266" s="2643">
        <f t="shared" si="139"/>
        <v>0</v>
      </c>
      <c r="T266" s="2631">
        <f t="shared" si="150"/>
        <v>0</v>
      </c>
      <c r="U266" s="2632">
        <f t="shared" si="150"/>
        <v>0</v>
      </c>
      <c r="V266" s="2632">
        <f t="shared" si="150"/>
        <v>0</v>
      </c>
      <c r="W266" s="2632">
        <f t="shared" si="150"/>
        <v>0</v>
      </c>
      <c r="X266" s="2632">
        <f t="shared" si="150"/>
        <v>0</v>
      </c>
      <c r="Y266" s="2633">
        <f t="shared" si="150"/>
        <v>0</v>
      </c>
      <c r="Z266" s="1592"/>
      <c r="AA266" s="1623"/>
    </row>
    <row r="267" spans="1:28">
      <c r="A267" s="1650">
        <v>10</v>
      </c>
      <c r="B267" s="1595">
        <v>91140101</v>
      </c>
      <c r="C267" s="1649">
        <v>0.1</v>
      </c>
      <c r="D267" s="1558" t="s">
        <v>1442</v>
      </c>
      <c r="E267" s="2643">
        <f t="shared" si="144"/>
        <v>0</v>
      </c>
      <c r="F267" s="2631">
        <f t="shared" ref="F267:K267" si="151">F201-F245</f>
        <v>0</v>
      </c>
      <c r="G267" s="2632">
        <f t="shared" si="151"/>
        <v>0</v>
      </c>
      <c r="H267" s="2632">
        <f t="shared" si="151"/>
        <v>0</v>
      </c>
      <c r="I267" s="2632">
        <f t="shared" si="151"/>
        <v>0</v>
      </c>
      <c r="J267" s="2632">
        <f t="shared" si="151"/>
        <v>0</v>
      </c>
      <c r="K267" s="2633">
        <f t="shared" si="151"/>
        <v>0</v>
      </c>
      <c r="L267" s="2648">
        <f t="shared" si="137"/>
        <v>0</v>
      </c>
      <c r="M267" s="2649">
        <f t="shared" ref="M267:R267" si="152">M201-M245</f>
        <v>0</v>
      </c>
      <c r="N267" s="2632">
        <f t="shared" si="152"/>
        <v>0</v>
      </c>
      <c r="O267" s="2632">
        <f t="shared" si="152"/>
        <v>0</v>
      </c>
      <c r="P267" s="2632">
        <f t="shared" si="152"/>
        <v>0</v>
      </c>
      <c r="Q267" s="2632">
        <f t="shared" si="152"/>
        <v>0</v>
      </c>
      <c r="R267" s="2633">
        <f t="shared" si="152"/>
        <v>0</v>
      </c>
      <c r="S267" s="2643">
        <f t="shared" si="139"/>
        <v>0</v>
      </c>
      <c r="T267" s="2631">
        <f t="shared" ref="T267:Y267" si="153">T201-T245</f>
        <v>0</v>
      </c>
      <c r="U267" s="2632">
        <f t="shared" si="153"/>
        <v>0</v>
      </c>
      <c r="V267" s="2632">
        <f t="shared" si="153"/>
        <v>0</v>
      </c>
      <c r="W267" s="2632">
        <f t="shared" si="153"/>
        <v>0</v>
      </c>
      <c r="X267" s="2632">
        <f t="shared" si="153"/>
        <v>0</v>
      </c>
      <c r="Y267" s="2633">
        <f t="shared" si="153"/>
        <v>0</v>
      </c>
      <c r="Z267" s="1592"/>
      <c r="AA267" s="1623"/>
    </row>
    <row r="268" spans="1:28">
      <c r="A268" s="1650">
        <v>11</v>
      </c>
      <c r="B268" s="1595">
        <v>91140102</v>
      </c>
      <c r="C268" s="1649">
        <v>0.04</v>
      </c>
      <c r="D268" s="1558" t="s">
        <v>604</v>
      </c>
      <c r="E268" s="2643">
        <f t="shared" si="144"/>
        <v>0</v>
      </c>
      <c r="F268" s="2631">
        <f t="shared" ref="F268:K268" si="154">F202-F246</f>
        <v>0</v>
      </c>
      <c r="G268" s="2632">
        <f t="shared" si="154"/>
        <v>0</v>
      </c>
      <c r="H268" s="2632">
        <f t="shared" si="154"/>
        <v>0</v>
      </c>
      <c r="I268" s="2632">
        <f t="shared" si="154"/>
        <v>0</v>
      </c>
      <c r="J268" s="2632">
        <f t="shared" si="154"/>
        <v>0</v>
      </c>
      <c r="K268" s="2633">
        <f t="shared" si="154"/>
        <v>0</v>
      </c>
      <c r="L268" s="2648">
        <f t="shared" si="137"/>
        <v>0</v>
      </c>
      <c r="M268" s="2649">
        <f t="shared" ref="M268:R268" si="155">M202-M246</f>
        <v>0</v>
      </c>
      <c r="N268" s="2632">
        <f t="shared" si="155"/>
        <v>0</v>
      </c>
      <c r="O268" s="2632">
        <f t="shared" si="155"/>
        <v>0</v>
      </c>
      <c r="P268" s="2632">
        <f t="shared" si="155"/>
        <v>0</v>
      </c>
      <c r="Q268" s="2632">
        <f t="shared" si="155"/>
        <v>0</v>
      </c>
      <c r="R268" s="2633">
        <f t="shared" si="155"/>
        <v>0</v>
      </c>
      <c r="S268" s="2643">
        <f t="shared" si="139"/>
        <v>0</v>
      </c>
      <c r="T268" s="2631">
        <f t="shared" ref="T268:Y268" si="156">T202-T246</f>
        <v>0</v>
      </c>
      <c r="U268" s="2632">
        <f t="shared" si="156"/>
        <v>0</v>
      </c>
      <c r="V268" s="2632">
        <f t="shared" si="156"/>
        <v>0</v>
      </c>
      <c r="W268" s="2632">
        <f t="shared" si="156"/>
        <v>0</v>
      </c>
      <c r="X268" s="2632">
        <f t="shared" si="156"/>
        <v>0</v>
      </c>
      <c r="Y268" s="2633">
        <f t="shared" si="156"/>
        <v>0</v>
      </c>
      <c r="Z268" s="1592"/>
      <c r="AA268" s="1623"/>
    </row>
    <row r="269" spans="1:28">
      <c r="A269" s="1650">
        <v>12</v>
      </c>
      <c r="B269" s="1595" t="s">
        <v>951</v>
      </c>
      <c r="C269" s="1596">
        <v>0.02</v>
      </c>
      <c r="D269" s="1544" t="s">
        <v>1007</v>
      </c>
      <c r="E269" s="2643">
        <f t="shared" si="144"/>
        <v>0</v>
      </c>
      <c r="F269" s="2631">
        <f t="shared" ref="F269:K269" si="157">F203-F247</f>
        <v>0</v>
      </c>
      <c r="G269" s="2632">
        <f t="shared" si="157"/>
        <v>0</v>
      </c>
      <c r="H269" s="2632">
        <f t="shared" si="157"/>
        <v>0</v>
      </c>
      <c r="I269" s="2632">
        <f t="shared" si="157"/>
        <v>0</v>
      </c>
      <c r="J269" s="2632">
        <f t="shared" si="157"/>
        <v>0</v>
      </c>
      <c r="K269" s="2633">
        <f t="shared" si="157"/>
        <v>0</v>
      </c>
      <c r="L269" s="2648">
        <f t="shared" si="137"/>
        <v>0</v>
      </c>
      <c r="M269" s="2649">
        <f t="shared" ref="M269:R269" si="158">M203-M247</f>
        <v>0</v>
      </c>
      <c r="N269" s="2632">
        <f t="shared" si="158"/>
        <v>0</v>
      </c>
      <c r="O269" s="2632">
        <f t="shared" si="158"/>
        <v>0</v>
      </c>
      <c r="P269" s="2632">
        <f t="shared" si="158"/>
        <v>0</v>
      </c>
      <c r="Q269" s="2632">
        <f t="shared" si="158"/>
        <v>0</v>
      </c>
      <c r="R269" s="2633">
        <f t="shared" si="158"/>
        <v>0</v>
      </c>
      <c r="S269" s="2643">
        <f t="shared" si="139"/>
        <v>0</v>
      </c>
      <c r="T269" s="2631">
        <f t="shared" ref="T269:Y269" si="159">T203-T247</f>
        <v>0</v>
      </c>
      <c r="U269" s="2632">
        <f t="shared" si="159"/>
        <v>0</v>
      </c>
      <c r="V269" s="2632">
        <f t="shared" si="159"/>
        <v>0</v>
      </c>
      <c r="W269" s="2632">
        <f t="shared" si="159"/>
        <v>0</v>
      </c>
      <c r="X269" s="2632">
        <f t="shared" si="159"/>
        <v>0</v>
      </c>
      <c r="Y269" s="2633">
        <f t="shared" si="159"/>
        <v>0</v>
      </c>
      <c r="Z269" s="1592"/>
      <c r="AA269" s="1623"/>
    </row>
    <row r="270" spans="1:28">
      <c r="A270" s="1650">
        <v>13</v>
      </c>
      <c r="B270" s="1595" t="s">
        <v>952</v>
      </c>
      <c r="C270" s="1596">
        <v>0.02</v>
      </c>
      <c r="D270" s="1544" t="s">
        <v>1008</v>
      </c>
      <c r="E270" s="2643">
        <f t="shared" si="144"/>
        <v>4273</v>
      </c>
      <c r="F270" s="2631">
        <f t="shared" ref="F270:K270" si="160">F204-F248</f>
        <v>4176</v>
      </c>
      <c r="G270" s="2632">
        <f t="shared" si="160"/>
        <v>4079</v>
      </c>
      <c r="H270" s="2632">
        <f t="shared" si="160"/>
        <v>3982</v>
      </c>
      <c r="I270" s="2632">
        <f t="shared" si="160"/>
        <v>3885</v>
      </c>
      <c r="J270" s="2632">
        <f t="shared" si="160"/>
        <v>3788</v>
      </c>
      <c r="K270" s="2633">
        <f t="shared" si="160"/>
        <v>3691</v>
      </c>
      <c r="L270" s="2648">
        <f t="shared" si="137"/>
        <v>0</v>
      </c>
      <c r="M270" s="2649">
        <f t="shared" ref="M270:R270" si="161">M204-M248</f>
        <v>0</v>
      </c>
      <c r="N270" s="2632">
        <f t="shared" si="161"/>
        <v>0</v>
      </c>
      <c r="O270" s="2632">
        <f t="shared" si="161"/>
        <v>0</v>
      </c>
      <c r="P270" s="2632">
        <f t="shared" si="161"/>
        <v>0</v>
      </c>
      <c r="Q270" s="2632">
        <f t="shared" si="161"/>
        <v>0</v>
      </c>
      <c r="R270" s="2633">
        <f t="shared" si="161"/>
        <v>0</v>
      </c>
      <c r="S270" s="2643">
        <f t="shared" si="139"/>
        <v>0</v>
      </c>
      <c r="T270" s="2631">
        <f t="shared" ref="T270:Y270" si="162">T204-T248</f>
        <v>0</v>
      </c>
      <c r="U270" s="2632">
        <f t="shared" si="162"/>
        <v>0</v>
      </c>
      <c r="V270" s="2632">
        <f t="shared" si="162"/>
        <v>0</v>
      </c>
      <c r="W270" s="2632">
        <f t="shared" si="162"/>
        <v>0</v>
      </c>
      <c r="X270" s="2632">
        <f t="shared" si="162"/>
        <v>0</v>
      </c>
      <c r="Y270" s="2633">
        <f t="shared" si="162"/>
        <v>0</v>
      </c>
      <c r="Z270" s="1592"/>
      <c r="AA270" s="1623"/>
    </row>
    <row r="271" spans="1:28">
      <c r="A271" s="1650">
        <v>14</v>
      </c>
      <c r="B271" s="1595" t="s">
        <v>953</v>
      </c>
      <c r="C271" s="1596">
        <v>0.02</v>
      </c>
      <c r="D271" s="1544" t="s">
        <v>590</v>
      </c>
      <c r="E271" s="2643">
        <f t="shared" si="144"/>
        <v>26</v>
      </c>
      <c r="F271" s="2631">
        <f t="shared" ref="F271:K271" si="163">F205-F249</f>
        <v>25</v>
      </c>
      <c r="G271" s="2632">
        <f t="shared" si="163"/>
        <v>24</v>
      </c>
      <c r="H271" s="2632">
        <f t="shared" si="163"/>
        <v>23</v>
      </c>
      <c r="I271" s="2632">
        <f t="shared" si="163"/>
        <v>22</v>
      </c>
      <c r="J271" s="2632">
        <f t="shared" si="163"/>
        <v>21</v>
      </c>
      <c r="K271" s="2633">
        <f t="shared" si="163"/>
        <v>20</v>
      </c>
      <c r="L271" s="2648">
        <f t="shared" si="137"/>
        <v>0</v>
      </c>
      <c r="M271" s="2649">
        <f t="shared" ref="M271:R271" si="164">M205-M249</f>
        <v>0</v>
      </c>
      <c r="N271" s="2632">
        <f t="shared" si="164"/>
        <v>0</v>
      </c>
      <c r="O271" s="2632">
        <f t="shared" si="164"/>
        <v>0</v>
      </c>
      <c r="P271" s="2632">
        <f t="shared" si="164"/>
        <v>0</v>
      </c>
      <c r="Q271" s="2632">
        <f t="shared" si="164"/>
        <v>0</v>
      </c>
      <c r="R271" s="2633">
        <f t="shared" si="164"/>
        <v>0</v>
      </c>
      <c r="S271" s="2643">
        <f t="shared" si="139"/>
        <v>0</v>
      </c>
      <c r="T271" s="2631">
        <f t="shared" ref="T271:Y271" si="165">T205-T249</f>
        <v>0</v>
      </c>
      <c r="U271" s="2632">
        <f t="shared" si="165"/>
        <v>0</v>
      </c>
      <c r="V271" s="2632">
        <f t="shared" si="165"/>
        <v>0</v>
      </c>
      <c r="W271" s="2632">
        <f t="shared" si="165"/>
        <v>0</v>
      </c>
      <c r="X271" s="2632">
        <f t="shared" si="165"/>
        <v>0</v>
      </c>
      <c r="Y271" s="2633">
        <f t="shared" si="165"/>
        <v>0</v>
      </c>
      <c r="Z271" s="1592"/>
      <c r="AA271" s="1623"/>
    </row>
    <row r="272" spans="1:28">
      <c r="A272" s="1650">
        <v>15</v>
      </c>
      <c r="B272" s="1595" t="s">
        <v>954</v>
      </c>
      <c r="C272" s="1596">
        <v>0.02</v>
      </c>
      <c r="D272" s="1558" t="s">
        <v>591</v>
      </c>
      <c r="E272" s="2643">
        <f t="shared" si="144"/>
        <v>0</v>
      </c>
      <c r="F272" s="2631">
        <f t="shared" ref="F272:K272" si="166">F206-F250</f>
        <v>0</v>
      </c>
      <c r="G272" s="2632">
        <f t="shared" si="166"/>
        <v>0</v>
      </c>
      <c r="H272" s="2632">
        <f t="shared" si="166"/>
        <v>0</v>
      </c>
      <c r="I272" s="2632">
        <f t="shared" si="166"/>
        <v>0</v>
      </c>
      <c r="J272" s="2632">
        <f t="shared" si="166"/>
        <v>0</v>
      </c>
      <c r="K272" s="2633">
        <f t="shared" si="166"/>
        <v>0</v>
      </c>
      <c r="L272" s="2648">
        <f t="shared" si="137"/>
        <v>0</v>
      </c>
      <c r="M272" s="2649">
        <f t="shared" ref="M272:R272" si="167">M206-M250</f>
        <v>0</v>
      </c>
      <c r="N272" s="2632">
        <f t="shared" si="167"/>
        <v>0</v>
      </c>
      <c r="O272" s="2632">
        <f t="shared" si="167"/>
        <v>0</v>
      </c>
      <c r="P272" s="2632">
        <f t="shared" si="167"/>
        <v>0</v>
      </c>
      <c r="Q272" s="2632">
        <f t="shared" si="167"/>
        <v>0</v>
      </c>
      <c r="R272" s="2633">
        <f t="shared" si="167"/>
        <v>0</v>
      </c>
      <c r="S272" s="2643">
        <f t="shared" si="139"/>
        <v>0</v>
      </c>
      <c r="T272" s="2631">
        <f t="shared" ref="T272:Y272" si="168">T206-T250</f>
        <v>0</v>
      </c>
      <c r="U272" s="2632">
        <f t="shared" si="168"/>
        <v>0</v>
      </c>
      <c r="V272" s="2632">
        <f t="shared" si="168"/>
        <v>0</v>
      </c>
      <c r="W272" s="2632">
        <f t="shared" si="168"/>
        <v>0</v>
      </c>
      <c r="X272" s="2632">
        <f t="shared" si="168"/>
        <v>0</v>
      </c>
      <c r="Y272" s="2633">
        <f t="shared" si="168"/>
        <v>0</v>
      </c>
      <c r="Z272" s="1592"/>
      <c r="AA272" s="1623"/>
    </row>
    <row r="273" spans="1:28">
      <c r="A273" s="1650">
        <v>16</v>
      </c>
      <c r="B273" s="1595" t="s">
        <v>955</v>
      </c>
      <c r="C273" s="1596">
        <v>0.02</v>
      </c>
      <c r="D273" s="1544" t="s">
        <v>592</v>
      </c>
      <c r="E273" s="2643">
        <f t="shared" si="144"/>
        <v>56255</v>
      </c>
      <c r="F273" s="2631">
        <f t="shared" ref="F273:K273" si="169">F207-F251</f>
        <v>54961</v>
      </c>
      <c r="G273" s="2632">
        <f t="shared" si="169"/>
        <v>57100.92</v>
      </c>
      <c r="H273" s="2632">
        <f t="shared" si="169"/>
        <v>62602.720000000001</v>
      </c>
      <c r="I273" s="2632">
        <f t="shared" si="169"/>
        <v>72347.94</v>
      </c>
      <c r="J273" s="2632">
        <f t="shared" si="169"/>
        <v>79034.320000000007</v>
      </c>
      <c r="K273" s="2633">
        <f t="shared" si="169"/>
        <v>77128.7</v>
      </c>
      <c r="L273" s="2648">
        <f t="shared" si="137"/>
        <v>0</v>
      </c>
      <c r="M273" s="2649">
        <f t="shared" ref="M273:R273" si="170">M207-M251</f>
        <v>0</v>
      </c>
      <c r="N273" s="2632">
        <f t="shared" si="170"/>
        <v>0</v>
      </c>
      <c r="O273" s="2632">
        <f t="shared" si="170"/>
        <v>0</v>
      </c>
      <c r="P273" s="2632">
        <f t="shared" si="170"/>
        <v>0</v>
      </c>
      <c r="Q273" s="2632">
        <f t="shared" si="170"/>
        <v>0</v>
      </c>
      <c r="R273" s="2633">
        <f t="shared" si="170"/>
        <v>0</v>
      </c>
      <c r="S273" s="2643">
        <f t="shared" si="139"/>
        <v>0</v>
      </c>
      <c r="T273" s="2631">
        <f t="shared" ref="T273:Y273" si="171">T207-T251</f>
        <v>0</v>
      </c>
      <c r="U273" s="2632">
        <f t="shared" si="171"/>
        <v>0</v>
      </c>
      <c r="V273" s="2632">
        <f t="shared" si="171"/>
        <v>0</v>
      </c>
      <c r="W273" s="2632">
        <f t="shared" si="171"/>
        <v>0</v>
      </c>
      <c r="X273" s="2632">
        <f t="shared" si="171"/>
        <v>0</v>
      </c>
      <c r="Y273" s="2633">
        <f t="shared" si="171"/>
        <v>0</v>
      </c>
      <c r="Z273" s="1592"/>
      <c r="AA273" s="1623"/>
    </row>
    <row r="274" spans="1:28">
      <c r="A274" s="1650">
        <v>17</v>
      </c>
      <c r="B274" s="1595" t="s">
        <v>956</v>
      </c>
      <c r="C274" s="1596">
        <v>0.02</v>
      </c>
      <c r="D274" s="1546" t="s">
        <v>593</v>
      </c>
      <c r="E274" s="2643">
        <f t="shared" si="144"/>
        <v>0</v>
      </c>
      <c r="F274" s="2631">
        <f t="shared" ref="F274:K274" si="172">F208-F252</f>
        <v>0</v>
      </c>
      <c r="G274" s="2632">
        <f t="shared" si="172"/>
        <v>0</v>
      </c>
      <c r="H274" s="2632">
        <f t="shared" si="172"/>
        <v>0</v>
      </c>
      <c r="I274" s="2632">
        <f t="shared" si="172"/>
        <v>0</v>
      </c>
      <c r="J274" s="2632">
        <f t="shared" si="172"/>
        <v>0</v>
      </c>
      <c r="K274" s="2633">
        <f t="shared" si="172"/>
        <v>0</v>
      </c>
      <c r="L274" s="2648">
        <f t="shared" si="137"/>
        <v>39024</v>
      </c>
      <c r="M274" s="2649">
        <f t="shared" ref="M274:R274" si="173">M208-M252</f>
        <v>38244</v>
      </c>
      <c r="N274" s="2632">
        <f t="shared" si="173"/>
        <v>46582.9</v>
      </c>
      <c r="O274" s="2632">
        <f t="shared" si="173"/>
        <v>45616.800000000003</v>
      </c>
      <c r="P274" s="2632">
        <f t="shared" si="173"/>
        <v>48689.279999999999</v>
      </c>
      <c r="Q274" s="2632">
        <f t="shared" si="173"/>
        <v>95995.92</v>
      </c>
      <c r="R274" s="2633">
        <f t="shared" si="173"/>
        <v>93960.56</v>
      </c>
      <c r="S274" s="2643">
        <f t="shared" si="139"/>
        <v>0</v>
      </c>
      <c r="T274" s="2631">
        <f t="shared" ref="T274:Y274" si="174">T208-T252</f>
        <v>0</v>
      </c>
      <c r="U274" s="2632">
        <f t="shared" si="174"/>
        <v>0</v>
      </c>
      <c r="V274" s="2632">
        <f t="shared" si="174"/>
        <v>0</v>
      </c>
      <c r="W274" s="2632">
        <f t="shared" si="174"/>
        <v>0</v>
      </c>
      <c r="X274" s="2632">
        <f t="shared" si="174"/>
        <v>0</v>
      </c>
      <c r="Y274" s="2633">
        <f t="shared" si="174"/>
        <v>0</v>
      </c>
      <c r="Z274" s="1592"/>
      <c r="AA274" s="1623"/>
    </row>
    <row r="275" spans="1:28" ht="24">
      <c r="A275" s="1650">
        <v>18</v>
      </c>
      <c r="B275" s="1595" t="s">
        <v>957</v>
      </c>
      <c r="C275" s="1596">
        <v>0.04</v>
      </c>
      <c r="D275" s="1546" t="s">
        <v>594</v>
      </c>
      <c r="E275" s="2643">
        <f t="shared" si="144"/>
        <v>2348</v>
      </c>
      <c r="F275" s="2631">
        <f t="shared" ref="F275:K275" si="175">F209-F253</f>
        <v>2238</v>
      </c>
      <c r="G275" s="2632">
        <f t="shared" si="175"/>
        <v>2128</v>
      </c>
      <c r="H275" s="2632">
        <f t="shared" si="175"/>
        <v>2018</v>
      </c>
      <c r="I275" s="2632">
        <f t="shared" si="175"/>
        <v>1908</v>
      </c>
      <c r="J275" s="2632">
        <f t="shared" si="175"/>
        <v>1798</v>
      </c>
      <c r="K275" s="2633">
        <f t="shared" si="175"/>
        <v>1688</v>
      </c>
      <c r="L275" s="2648">
        <f t="shared" si="137"/>
        <v>0</v>
      </c>
      <c r="M275" s="2649">
        <f t="shared" ref="M275:R275" si="176">M209-M253</f>
        <v>0</v>
      </c>
      <c r="N275" s="2632">
        <f t="shared" si="176"/>
        <v>0</v>
      </c>
      <c r="O275" s="2632">
        <f t="shared" si="176"/>
        <v>0</v>
      </c>
      <c r="P275" s="2632">
        <f t="shared" si="176"/>
        <v>0</v>
      </c>
      <c r="Q275" s="2632">
        <f t="shared" si="176"/>
        <v>0</v>
      </c>
      <c r="R275" s="2633">
        <f t="shared" si="176"/>
        <v>0</v>
      </c>
      <c r="S275" s="2643">
        <f t="shared" si="139"/>
        <v>17609</v>
      </c>
      <c r="T275" s="2631">
        <f t="shared" ref="T275:Y275" si="177">T209-T253</f>
        <v>16905</v>
      </c>
      <c r="U275" s="2632">
        <f t="shared" si="177"/>
        <v>18739.240000000002</v>
      </c>
      <c r="V275" s="2632">
        <f t="shared" si="177"/>
        <v>32328.52</v>
      </c>
      <c r="W275" s="2632">
        <f t="shared" si="177"/>
        <v>42294.8</v>
      </c>
      <c r="X275" s="2632">
        <f t="shared" si="177"/>
        <v>42464.520000000004</v>
      </c>
      <c r="Y275" s="2633">
        <f t="shared" si="177"/>
        <v>40495.24</v>
      </c>
      <c r="Z275" s="1592"/>
      <c r="AA275" s="1623"/>
    </row>
    <row r="276" spans="1:28" ht="15.75" customHeight="1">
      <c r="A276" s="1650">
        <v>19</v>
      </c>
      <c r="B276" s="1595" t="s">
        <v>958</v>
      </c>
      <c r="C276" s="1596">
        <v>0.04</v>
      </c>
      <c r="D276" s="1546" t="s">
        <v>595</v>
      </c>
      <c r="E276" s="2643">
        <f t="shared" si="144"/>
        <v>422</v>
      </c>
      <c r="F276" s="2631">
        <f t="shared" ref="F276:K276" si="178">F210-F254</f>
        <v>378</v>
      </c>
      <c r="G276" s="2632">
        <f t="shared" si="178"/>
        <v>334</v>
      </c>
      <c r="H276" s="2632">
        <f t="shared" si="178"/>
        <v>290</v>
      </c>
      <c r="I276" s="2632">
        <f t="shared" si="178"/>
        <v>246</v>
      </c>
      <c r="J276" s="2632">
        <f t="shared" si="178"/>
        <v>202</v>
      </c>
      <c r="K276" s="2633">
        <f t="shared" si="178"/>
        <v>158</v>
      </c>
      <c r="L276" s="2648">
        <f t="shared" si="137"/>
        <v>0</v>
      </c>
      <c r="M276" s="2649">
        <f t="shared" ref="M276:R276" si="179">M210-M254</f>
        <v>0</v>
      </c>
      <c r="N276" s="2632">
        <f t="shared" si="179"/>
        <v>0</v>
      </c>
      <c r="O276" s="2632">
        <f t="shared" si="179"/>
        <v>0</v>
      </c>
      <c r="P276" s="2632">
        <f t="shared" si="179"/>
        <v>0</v>
      </c>
      <c r="Q276" s="2632">
        <f t="shared" si="179"/>
        <v>0</v>
      </c>
      <c r="R276" s="2633">
        <f t="shared" si="179"/>
        <v>0</v>
      </c>
      <c r="S276" s="2643">
        <f t="shared" si="139"/>
        <v>0</v>
      </c>
      <c r="T276" s="2631">
        <f t="shared" ref="T276:Y276" si="180">T210-T254</f>
        <v>0</v>
      </c>
      <c r="U276" s="2632">
        <f t="shared" si="180"/>
        <v>0</v>
      </c>
      <c r="V276" s="2632">
        <f t="shared" si="180"/>
        <v>0</v>
      </c>
      <c r="W276" s="2632">
        <f t="shared" si="180"/>
        <v>0</v>
      </c>
      <c r="X276" s="2632">
        <f t="shared" si="180"/>
        <v>0</v>
      </c>
      <c r="Y276" s="2633">
        <f t="shared" si="180"/>
        <v>0</v>
      </c>
      <c r="Z276" s="1592"/>
      <c r="AA276" s="1623"/>
    </row>
    <row r="277" spans="1:28" ht="15.75" customHeight="1">
      <c r="A277" s="1650">
        <v>20</v>
      </c>
      <c r="B277" s="1595" t="s">
        <v>970</v>
      </c>
      <c r="C277" s="1596">
        <v>0.04</v>
      </c>
      <c r="D277" s="1648" t="s">
        <v>606</v>
      </c>
      <c r="E277" s="2643">
        <f t="shared" si="144"/>
        <v>0</v>
      </c>
      <c r="F277" s="2631">
        <f t="shared" ref="F277:L278" si="181">F211-F255</f>
        <v>0</v>
      </c>
      <c r="G277" s="2632">
        <f t="shared" si="181"/>
        <v>0</v>
      </c>
      <c r="H277" s="2632">
        <f t="shared" si="181"/>
        <v>0</v>
      </c>
      <c r="I277" s="2632">
        <f t="shared" si="181"/>
        <v>0</v>
      </c>
      <c r="J277" s="2632">
        <f t="shared" si="181"/>
        <v>0</v>
      </c>
      <c r="K277" s="2633">
        <f t="shared" si="181"/>
        <v>0</v>
      </c>
      <c r="L277" s="2648">
        <f t="shared" si="181"/>
        <v>0</v>
      </c>
      <c r="M277" s="2649">
        <f t="shared" ref="M277:S278" si="182">M211-M255</f>
        <v>0</v>
      </c>
      <c r="N277" s="2632">
        <f t="shared" si="182"/>
        <v>0</v>
      </c>
      <c r="O277" s="2632">
        <f t="shared" si="182"/>
        <v>0</v>
      </c>
      <c r="P277" s="2632">
        <f t="shared" si="182"/>
        <v>0</v>
      </c>
      <c r="Q277" s="2632">
        <f t="shared" si="182"/>
        <v>0</v>
      </c>
      <c r="R277" s="2633">
        <f t="shared" si="182"/>
        <v>0</v>
      </c>
      <c r="S277" s="2643">
        <f t="shared" si="182"/>
        <v>0</v>
      </c>
      <c r="T277" s="2631">
        <f t="shared" ref="T277:Y277" si="183">T211-T255</f>
        <v>0</v>
      </c>
      <c r="U277" s="2632">
        <f t="shared" si="183"/>
        <v>0</v>
      </c>
      <c r="V277" s="2632">
        <f t="shared" si="183"/>
        <v>0</v>
      </c>
      <c r="W277" s="2632">
        <f t="shared" si="183"/>
        <v>0</v>
      </c>
      <c r="X277" s="2632">
        <f t="shared" si="183"/>
        <v>0</v>
      </c>
      <c r="Y277" s="2633">
        <f t="shared" si="183"/>
        <v>0</v>
      </c>
      <c r="Z277" s="1592"/>
      <c r="AA277" s="1623"/>
    </row>
    <row r="278" spans="1:28" ht="24.75" thickBot="1">
      <c r="A278" s="1650">
        <v>21</v>
      </c>
      <c r="B278" s="1595" t="s">
        <v>960</v>
      </c>
      <c r="C278" s="1600">
        <v>0.2</v>
      </c>
      <c r="D278" s="1546" t="s">
        <v>911</v>
      </c>
      <c r="E278" s="2643">
        <f t="shared" si="144"/>
        <v>302</v>
      </c>
      <c r="F278" s="2631">
        <f t="shared" ref="F278:K278" si="184">F212-F256</f>
        <v>226</v>
      </c>
      <c r="G278" s="2632">
        <f t="shared" si="184"/>
        <v>150</v>
      </c>
      <c r="H278" s="2632">
        <f t="shared" si="184"/>
        <v>74</v>
      </c>
      <c r="I278" s="2632">
        <f t="shared" si="184"/>
        <v>0</v>
      </c>
      <c r="J278" s="2632">
        <f t="shared" si="184"/>
        <v>0</v>
      </c>
      <c r="K278" s="2633">
        <f t="shared" si="184"/>
        <v>0</v>
      </c>
      <c r="L278" s="2648">
        <f t="shared" si="181"/>
        <v>0</v>
      </c>
      <c r="M278" s="2650">
        <f t="shared" ref="M278:R278" si="185">M212-M256</f>
        <v>0</v>
      </c>
      <c r="N278" s="2651">
        <f t="shared" si="185"/>
        <v>0</v>
      </c>
      <c r="O278" s="2651">
        <f t="shared" si="185"/>
        <v>0</v>
      </c>
      <c r="P278" s="2651">
        <f t="shared" si="185"/>
        <v>0</v>
      </c>
      <c r="Q278" s="2651">
        <f t="shared" si="185"/>
        <v>0</v>
      </c>
      <c r="R278" s="2652">
        <f t="shared" si="185"/>
        <v>0</v>
      </c>
      <c r="S278" s="2643">
        <f t="shared" si="182"/>
        <v>0</v>
      </c>
      <c r="T278" s="2653">
        <f t="shared" ref="T278:Y278" si="186">T212-T256</f>
        <v>0</v>
      </c>
      <c r="U278" s="2651">
        <f t="shared" si="186"/>
        <v>0</v>
      </c>
      <c r="V278" s="2651">
        <f t="shared" si="186"/>
        <v>0</v>
      </c>
      <c r="W278" s="2651">
        <f t="shared" si="186"/>
        <v>0</v>
      </c>
      <c r="X278" s="2651">
        <f t="shared" si="186"/>
        <v>0</v>
      </c>
      <c r="Y278" s="2652">
        <f t="shared" si="186"/>
        <v>0</v>
      </c>
      <c r="Z278" s="1592"/>
      <c r="AA278" s="1623"/>
    </row>
    <row r="279" spans="1:28" ht="18" customHeight="1" thickBot="1">
      <c r="A279" s="1653"/>
      <c r="B279" s="1653"/>
      <c r="C279" s="1653"/>
      <c r="D279" s="1654" t="s">
        <v>761</v>
      </c>
      <c r="E279" s="2644">
        <f>E9+E110+E191</f>
        <v>83506</v>
      </c>
      <c r="F279" s="2638">
        <f t="shared" ref="F279:Y279" si="187">F9+F110+F191</f>
        <v>85572</v>
      </c>
      <c r="G279" s="2639">
        <f t="shared" si="187"/>
        <v>90794.799421407908</v>
      </c>
      <c r="H279" s="2639">
        <f t="shared" si="187"/>
        <v>100100.09312417869</v>
      </c>
      <c r="I279" s="2639">
        <f t="shared" si="187"/>
        <v>113806.36429122674</v>
      </c>
      <c r="J279" s="2639">
        <f t="shared" si="187"/>
        <v>125139.77208774319</v>
      </c>
      <c r="K279" s="2640">
        <f t="shared" si="187"/>
        <v>127474.16495689892</v>
      </c>
      <c r="L279" s="2644">
        <f t="shared" si="187"/>
        <v>40389</v>
      </c>
      <c r="M279" s="2638">
        <f t="shared" si="187"/>
        <v>40582</v>
      </c>
      <c r="N279" s="2639">
        <f t="shared" si="187"/>
        <v>50661.97492767599</v>
      </c>
      <c r="O279" s="2639">
        <f t="shared" si="187"/>
        <v>50884.440922638205</v>
      </c>
      <c r="P279" s="2639">
        <f t="shared" si="187"/>
        <v>55727.862738046293</v>
      </c>
      <c r="Q279" s="2639">
        <f t="shared" si="187"/>
        <v>106410.02972726387</v>
      </c>
      <c r="R279" s="2640">
        <f t="shared" si="187"/>
        <v>107503.35296977985</v>
      </c>
      <c r="S279" s="2644">
        <f t="shared" si="187"/>
        <v>17674</v>
      </c>
      <c r="T279" s="2638">
        <f t="shared" si="187"/>
        <v>17848</v>
      </c>
      <c r="U279" s="2639">
        <f t="shared" si="187"/>
        <v>20546.225650916105</v>
      </c>
      <c r="V279" s="2639">
        <f t="shared" si="187"/>
        <v>35872.465953183106</v>
      </c>
      <c r="W279" s="2639">
        <f t="shared" si="187"/>
        <v>47857.772970726968</v>
      </c>
      <c r="X279" s="2639">
        <f t="shared" si="187"/>
        <v>50083.198184992936</v>
      </c>
      <c r="Y279" s="2654">
        <f t="shared" si="187"/>
        <v>50169.482073321218</v>
      </c>
      <c r="Z279" s="1638"/>
      <c r="AA279" s="1622"/>
      <c r="AB279" s="1584"/>
    </row>
    <row r="280" spans="1:28" ht="18" customHeight="1" thickBot="1">
      <c r="A280" s="1653"/>
      <c r="B280" s="1653"/>
      <c r="C280" s="1653"/>
      <c r="D280" s="1654" t="s">
        <v>762</v>
      </c>
      <c r="E280" s="2644">
        <f t="shared" ref="E280:Y280" si="188">E34+E130+E213</f>
        <v>2012</v>
      </c>
      <c r="F280" s="2638">
        <f t="shared" si="188"/>
        <v>2104.65</v>
      </c>
      <c r="G280" s="2639">
        <f t="shared" si="188"/>
        <v>2257.3205012941016</v>
      </c>
      <c r="H280" s="2639">
        <f t="shared" si="188"/>
        <v>2470.9599916649304</v>
      </c>
      <c r="I280" s="2639">
        <f t="shared" si="188"/>
        <v>2719.8217868967513</v>
      </c>
      <c r="J280" s="2639">
        <f t="shared" si="188"/>
        <v>2912.0105132355134</v>
      </c>
      <c r="K280" s="2640">
        <f t="shared" si="188"/>
        <v>3053.1766109615974</v>
      </c>
      <c r="L280" s="2644">
        <f t="shared" si="188"/>
        <v>844</v>
      </c>
      <c r="M280" s="2638">
        <f t="shared" si="188"/>
        <v>851.94</v>
      </c>
      <c r="N280" s="2639">
        <f t="shared" si="188"/>
        <v>1081.5164950279254</v>
      </c>
      <c r="O280" s="2639">
        <f t="shared" si="188"/>
        <v>1131.6598453844551</v>
      </c>
      <c r="P280" s="2639">
        <f t="shared" si="188"/>
        <v>1238.8855774248182</v>
      </c>
      <c r="Q280" s="2639">
        <f t="shared" si="188"/>
        <v>2267.5106921225806</v>
      </c>
      <c r="R280" s="2640">
        <f t="shared" si="188"/>
        <v>2307.57013955812</v>
      </c>
      <c r="S280" s="2644">
        <f t="shared" si="188"/>
        <v>707.42</v>
      </c>
      <c r="T280" s="2638">
        <f t="shared" si="188"/>
        <v>712.52</v>
      </c>
      <c r="U280" s="2639">
        <f t="shared" si="188"/>
        <v>825.473003677973</v>
      </c>
      <c r="V280" s="2639">
        <f t="shared" si="188"/>
        <v>1439.2901629506148</v>
      </c>
      <c r="W280" s="2639">
        <f t="shared" si="188"/>
        <v>1932.7076356784303</v>
      </c>
      <c r="X280" s="2639">
        <f t="shared" si="188"/>
        <v>2026.9987946419064</v>
      </c>
      <c r="Y280" s="2654">
        <f t="shared" si="188"/>
        <v>2033.9832494802829</v>
      </c>
      <c r="Z280" s="1638"/>
      <c r="AA280" s="1622"/>
      <c r="AB280" s="1584"/>
    </row>
    <row r="281" spans="1:28" ht="18" customHeight="1" thickBot="1">
      <c r="A281" s="1653"/>
      <c r="B281" s="1653"/>
      <c r="C281" s="1653"/>
      <c r="D281" s="1654" t="s">
        <v>763</v>
      </c>
      <c r="E281" s="2644">
        <f t="shared" ref="E281:Y281" si="189">E59+E150+E235</f>
        <v>16021</v>
      </c>
      <c r="F281" s="2638">
        <f t="shared" si="189"/>
        <v>18125.649999999998</v>
      </c>
      <c r="G281" s="2639">
        <f t="shared" si="189"/>
        <v>20382.970501294105</v>
      </c>
      <c r="H281" s="2639">
        <f t="shared" si="189"/>
        <v>22853.930492959029</v>
      </c>
      <c r="I281" s="2639">
        <f t="shared" si="189"/>
        <v>25573.752279855784</v>
      </c>
      <c r="J281" s="2639">
        <f t="shared" si="189"/>
        <v>28485.7627930913</v>
      </c>
      <c r="K281" s="2640">
        <f t="shared" si="189"/>
        <v>31538.939404052893</v>
      </c>
      <c r="L281" s="2644">
        <f t="shared" si="189"/>
        <v>847</v>
      </c>
      <c r="M281" s="2638">
        <f t="shared" si="189"/>
        <v>1698.94</v>
      </c>
      <c r="N281" s="2639">
        <f t="shared" si="189"/>
        <v>2780.4564950279255</v>
      </c>
      <c r="O281" s="2639">
        <f t="shared" si="189"/>
        <v>3912.1163404123809</v>
      </c>
      <c r="P281" s="2639">
        <f t="shared" si="189"/>
        <v>5151.0019178371986</v>
      </c>
      <c r="Q281" s="2639">
        <f t="shared" si="189"/>
        <v>7418.5126099597783</v>
      </c>
      <c r="R281" s="2640">
        <f t="shared" si="189"/>
        <v>9726.0827495179001</v>
      </c>
      <c r="S281" s="2644">
        <f t="shared" si="189"/>
        <v>29</v>
      </c>
      <c r="T281" s="2638">
        <f t="shared" si="189"/>
        <v>741.52</v>
      </c>
      <c r="U281" s="2639">
        <f t="shared" si="189"/>
        <v>1566.9930036779731</v>
      </c>
      <c r="V281" s="2639">
        <f t="shared" si="189"/>
        <v>3006.2831666285879</v>
      </c>
      <c r="W281" s="2639">
        <f t="shared" si="189"/>
        <v>4938.9908023070175</v>
      </c>
      <c r="X281" s="2639">
        <f t="shared" si="189"/>
        <v>6965.9895969489244</v>
      </c>
      <c r="Y281" s="2654">
        <f t="shared" si="189"/>
        <v>8999.9728464292075</v>
      </c>
      <c r="Z281" s="1638"/>
      <c r="AA281" s="1622"/>
      <c r="AB281" s="1584"/>
    </row>
    <row r="282" spans="1:28" ht="18" customHeight="1" thickBot="1">
      <c r="A282" s="1653"/>
      <c r="B282" s="1653"/>
      <c r="C282" s="1653"/>
      <c r="D282" s="1654" t="s">
        <v>764</v>
      </c>
      <c r="E282" s="2644">
        <f t="shared" ref="E282:Y282" si="190">E84+E170+E257</f>
        <v>67485</v>
      </c>
      <c r="F282" s="2638">
        <f>F84+F170+F257</f>
        <v>67446.350000000006</v>
      </c>
      <c r="G282" s="2639">
        <f t="shared" si="190"/>
        <v>70411.82892011381</v>
      </c>
      <c r="H282" s="2639">
        <f t="shared" si="190"/>
        <v>77246.16263121966</v>
      </c>
      <c r="I282" s="2639">
        <f t="shared" si="190"/>
        <v>88232.612011370962</v>
      </c>
      <c r="J282" s="2639">
        <f t="shared" si="190"/>
        <v>96654.0092946519</v>
      </c>
      <c r="K282" s="2640">
        <f t="shared" si="190"/>
        <v>95935.225552846037</v>
      </c>
      <c r="L282" s="2644">
        <f t="shared" si="190"/>
        <v>39542</v>
      </c>
      <c r="M282" s="2638">
        <f t="shared" si="190"/>
        <v>38883.06</v>
      </c>
      <c r="N282" s="2639">
        <f t="shared" si="190"/>
        <v>47881.518432648067</v>
      </c>
      <c r="O282" s="2639">
        <f t="shared" si="190"/>
        <v>46972.324582225825</v>
      </c>
      <c r="P282" s="2639">
        <f t="shared" si="190"/>
        <v>50576.860820209091</v>
      </c>
      <c r="Q282" s="2639">
        <f t="shared" si="190"/>
        <v>98991.517117304087</v>
      </c>
      <c r="R282" s="2640">
        <f t="shared" si="190"/>
        <v>97777.270220261955</v>
      </c>
      <c r="S282" s="2644">
        <f t="shared" si="190"/>
        <v>17645</v>
      </c>
      <c r="T282" s="2638">
        <f t="shared" si="190"/>
        <v>17106.48</v>
      </c>
      <c r="U282" s="2639">
        <f t="shared" si="190"/>
        <v>18979.232647238132</v>
      </c>
      <c r="V282" s="2639">
        <f t="shared" si="190"/>
        <v>32866.18278655452</v>
      </c>
      <c r="W282" s="2639">
        <f t="shared" si="190"/>
        <v>42918.782168419952</v>
      </c>
      <c r="X282" s="2639">
        <f t="shared" si="190"/>
        <v>43117.208588044014</v>
      </c>
      <c r="Y282" s="2654">
        <f t="shared" si="190"/>
        <v>41169.509226892013</v>
      </c>
      <c r="Z282" s="1638"/>
      <c r="AA282" s="1655"/>
      <c r="AB282" s="1584"/>
    </row>
    <row r="283" spans="1:28" ht="13.5" thickBot="1">
      <c r="A283" s="1541"/>
      <c r="B283" s="284"/>
      <c r="C283" s="284"/>
      <c r="D283" s="285"/>
      <c r="E283" s="2645"/>
      <c r="F283" s="2641"/>
      <c r="G283" s="2641"/>
      <c r="H283" s="2641"/>
      <c r="I283" s="2641"/>
      <c r="J283" s="2641"/>
      <c r="K283" s="2641"/>
      <c r="L283" s="2645"/>
      <c r="M283" s="2641"/>
      <c r="N283" s="2641"/>
      <c r="O283" s="2641"/>
      <c r="P283" s="2641"/>
      <c r="Q283" s="2641"/>
      <c r="R283" s="2641"/>
      <c r="S283" s="2645"/>
      <c r="T283" s="2641"/>
      <c r="U283" s="2641"/>
      <c r="V283" s="2641"/>
      <c r="W283" s="2641"/>
      <c r="X283" s="2641"/>
      <c r="Y283" s="2641"/>
    </row>
    <row r="284" spans="1:28" ht="13.5" thickBot="1">
      <c r="A284" s="1658"/>
      <c r="B284" s="1659"/>
      <c r="C284" s="1659"/>
      <c r="D284" s="2152" t="s">
        <v>1482</v>
      </c>
      <c r="E284" s="2153">
        <f>E279-E281-E282</f>
        <v>0</v>
      </c>
      <c r="F284" s="2153">
        <f t="shared" ref="F284:Y284" si="191">F279-F281-F282</f>
        <v>0</v>
      </c>
      <c r="G284" s="2153">
        <f t="shared" si="191"/>
        <v>0</v>
      </c>
      <c r="H284" s="2153">
        <f t="shared" si="191"/>
        <v>0</v>
      </c>
      <c r="I284" s="2153">
        <f t="shared" si="191"/>
        <v>0</v>
      </c>
      <c r="J284" s="2153">
        <f t="shared" si="191"/>
        <v>0</v>
      </c>
      <c r="K284" s="2153">
        <f t="shared" si="191"/>
        <v>0</v>
      </c>
      <c r="L284" s="2153">
        <f t="shared" si="191"/>
        <v>0</v>
      </c>
      <c r="M284" s="2153">
        <f t="shared" si="191"/>
        <v>0</v>
      </c>
      <c r="N284" s="2153">
        <f t="shared" si="191"/>
        <v>0</v>
      </c>
      <c r="O284" s="2153">
        <f t="shared" si="191"/>
        <v>0</v>
      </c>
      <c r="P284" s="2153">
        <f t="shared" si="191"/>
        <v>0</v>
      </c>
      <c r="Q284" s="2153">
        <f t="shared" si="191"/>
        <v>0</v>
      </c>
      <c r="R284" s="2153">
        <f t="shared" si="191"/>
        <v>0</v>
      </c>
      <c r="S284" s="2153">
        <f t="shared" si="191"/>
        <v>0</v>
      </c>
      <c r="T284" s="2153">
        <f t="shared" si="191"/>
        <v>0</v>
      </c>
      <c r="U284" s="2153">
        <f t="shared" si="191"/>
        <v>0</v>
      </c>
      <c r="V284" s="2153">
        <f t="shared" si="191"/>
        <v>0</v>
      </c>
      <c r="W284" s="2153">
        <f t="shared" si="191"/>
        <v>0</v>
      </c>
      <c r="X284" s="2153">
        <f t="shared" si="191"/>
        <v>0</v>
      </c>
      <c r="Y284" s="2153">
        <f t="shared" si="191"/>
        <v>0</v>
      </c>
    </row>
    <row r="285" spans="1:28">
      <c r="A285" s="1541"/>
      <c r="B285" s="284"/>
      <c r="C285" s="284"/>
      <c r="D285" s="285"/>
      <c r="E285" s="1656"/>
      <c r="F285" s="1657"/>
      <c r="G285" s="1657"/>
      <c r="H285" s="1657"/>
      <c r="I285" s="1657"/>
      <c r="J285" s="1657"/>
      <c r="K285" s="1657"/>
      <c r="L285" s="1656"/>
      <c r="M285" s="1657"/>
      <c r="N285" s="1657"/>
      <c r="O285" s="1657"/>
      <c r="P285" s="1657"/>
      <c r="Q285" s="1657"/>
      <c r="R285" s="1657"/>
      <c r="S285" s="1656"/>
      <c r="T285" s="1657"/>
      <c r="U285" s="1657"/>
      <c r="V285" s="1657"/>
      <c r="W285" s="1657"/>
      <c r="X285" s="1657"/>
      <c r="Y285" s="1657"/>
    </row>
    <row r="286" spans="1:28">
      <c r="A286" s="1658"/>
      <c r="B286" s="1659"/>
      <c r="C286" s="286" t="str">
        <f>'10. Финансиране на ИП'!B71</f>
        <v>Дата: 27.08.2018 г.</v>
      </c>
      <c r="E286" s="1660"/>
      <c r="F286" s="1661"/>
      <c r="G286" s="1661"/>
      <c r="H286" s="1661"/>
      <c r="I286" s="1661"/>
      <c r="J286" s="1661"/>
      <c r="K286" s="1662"/>
      <c r="M286" s="1662"/>
      <c r="N286" s="1561"/>
      <c r="O286" s="1663"/>
      <c r="P286" s="288" t="str">
        <f>'10. Финансиране на ИП'!F72</f>
        <v>Главен счетоводител:</v>
      </c>
      <c r="Q286" s="218" t="s">
        <v>262</v>
      </c>
      <c r="R286" s="1665"/>
      <c r="S286" s="1666"/>
    </row>
    <row r="287" spans="1:28">
      <c r="A287" s="1658"/>
      <c r="B287" s="1659"/>
      <c r="C287" s="1659"/>
      <c r="D287" s="1659"/>
      <c r="E287" s="1658"/>
      <c r="F287" s="1659"/>
      <c r="G287" s="1659"/>
      <c r="H287" s="1659"/>
      <c r="I287" s="1659"/>
      <c r="J287" s="1659"/>
      <c r="O287" s="1663"/>
      <c r="P287" s="1667"/>
      <c r="Q287" s="1668"/>
      <c r="R287" s="1669" t="s">
        <v>5</v>
      </c>
      <c r="S287" s="1666"/>
    </row>
    <row r="288" spans="1:28">
      <c r="A288" s="1658"/>
      <c r="B288" s="1659"/>
      <c r="C288" s="1659"/>
      <c r="D288" s="1659"/>
      <c r="E288" s="1658"/>
      <c r="F288" s="1659"/>
      <c r="G288" s="1659"/>
      <c r="H288" s="1659"/>
      <c r="I288" s="1659"/>
      <c r="J288" s="1659"/>
      <c r="O288" s="1663"/>
      <c r="P288" s="1667"/>
      <c r="Q288" s="1668"/>
      <c r="R288" s="1669"/>
      <c r="S288" s="1666"/>
    </row>
    <row r="289" spans="1:19">
      <c r="A289" s="1658"/>
      <c r="B289" s="1659"/>
      <c r="C289" s="1659"/>
      <c r="D289" s="1659"/>
      <c r="E289" s="1658"/>
      <c r="F289" s="1659"/>
      <c r="G289" s="1659"/>
      <c r="H289" s="1659"/>
      <c r="I289" s="1659"/>
      <c r="J289" s="1659"/>
      <c r="O289" s="1663"/>
      <c r="P289" s="1667"/>
      <c r="Q289" s="1668"/>
      <c r="R289" s="1669"/>
      <c r="S289" s="1666"/>
    </row>
    <row r="290" spans="1:19">
      <c r="A290" s="1658"/>
      <c r="B290" s="1659"/>
      <c r="C290" s="1659"/>
      <c r="D290" s="1659"/>
      <c r="E290" s="1658"/>
      <c r="F290" s="1659"/>
      <c r="G290" s="1659"/>
      <c r="H290" s="1659"/>
      <c r="I290" s="1659"/>
      <c r="J290" s="1659"/>
      <c r="O290" s="291" t="str">
        <f>'10. Финансиране на ИП'!F76</f>
        <v>Управител:</v>
      </c>
      <c r="Q290" s="218" t="s">
        <v>262</v>
      </c>
      <c r="R290" s="1664"/>
      <c r="S290" s="1666"/>
    </row>
    <row r="291" spans="1:19">
      <c r="A291" s="1658"/>
      <c r="B291" s="1659"/>
      <c r="C291" s="1659"/>
      <c r="D291" s="1659"/>
      <c r="E291" s="1658"/>
      <c r="F291" s="1659"/>
      <c r="G291" s="1659"/>
      <c r="H291" s="1659"/>
      <c r="I291" s="1659"/>
      <c r="J291" s="1659"/>
      <c r="O291" s="1663"/>
      <c r="P291" s="1670"/>
      <c r="Q291" s="1668"/>
      <c r="R291" s="290" t="s">
        <v>6</v>
      </c>
      <c r="S291" s="1671"/>
    </row>
    <row r="292" spans="1:19">
      <c r="O292" s="1668"/>
      <c r="P292" s="1668"/>
      <c r="Q292" s="1668"/>
      <c r="R292" s="1668"/>
      <c r="S292" s="1666"/>
    </row>
    <row r="293" spans="1:19">
      <c r="A293" s="3560" t="s">
        <v>247</v>
      </c>
      <c r="B293" s="3560"/>
      <c r="C293" s="3560"/>
      <c r="D293" s="3560"/>
      <c r="E293" s="3560"/>
      <c r="F293" s="3560"/>
      <c r="G293" s="1672"/>
      <c r="H293" s="1672"/>
      <c r="I293" s="1672"/>
      <c r="J293" s="1672"/>
    </row>
    <row r="294" spans="1:19">
      <c r="A294" s="3555" t="s">
        <v>248</v>
      </c>
      <c r="B294" s="3555"/>
      <c r="C294" s="3555"/>
      <c r="D294" s="3555"/>
      <c r="E294" s="3555"/>
      <c r="F294" s="3555"/>
      <c r="G294" s="1672"/>
      <c r="H294" s="1672"/>
      <c r="I294" s="1672"/>
      <c r="J294" s="1672"/>
      <c r="L294" s="1560"/>
    </row>
    <row r="295" spans="1:19" ht="26.25" customHeight="1">
      <c r="A295" s="3555" t="s">
        <v>1443</v>
      </c>
      <c r="B295" s="3555"/>
      <c r="C295" s="3555"/>
      <c r="D295" s="3555"/>
      <c r="E295" s="3555"/>
      <c r="F295" s="3555"/>
      <c r="G295" s="3555"/>
      <c r="H295" s="3555"/>
      <c r="I295" s="3555"/>
      <c r="J295" s="3555"/>
      <c r="K295" s="3555"/>
      <c r="L295" s="3555"/>
      <c r="M295" s="3555"/>
      <c r="N295" s="3555"/>
      <c r="O295" s="3555"/>
      <c r="P295" s="3555"/>
      <c r="Q295" s="1568"/>
    </row>
    <row r="296" spans="1:19" ht="26.25" customHeight="1">
      <c r="A296" s="3556" t="s">
        <v>1479</v>
      </c>
      <c r="B296" s="3556"/>
      <c r="C296" s="3556"/>
      <c r="D296" s="3556"/>
      <c r="E296" s="3556"/>
      <c r="F296" s="3556"/>
      <c r="G296" s="3556"/>
      <c r="H296" s="3556"/>
      <c r="I296" s="3556"/>
      <c r="J296" s="3556"/>
      <c r="K296" s="3556"/>
      <c r="L296" s="3556"/>
      <c r="M296" s="3556"/>
      <c r="N296" s="3556"/>
      <c r="O296" s="3556"/>
      <c r="P296" s="3556"/>
    </row>
    <row r="297" spans="1:19" ht="53.25" customHeight="1">
      <c r="A297" s="3557" t="s">
        <v>1469</v>
      </c>
      <c r="B297" s="3557"/>
      <c r="C297" s="3557"/>
      <c r="D297" s="3557"/>
      <c r="E297" s="3557"/>
      <c r="F297" s="3557"/>
      <c r="G297" s="3557"/>
      <c r="H297" s="3557"/>
      <c r="I297" s="3557"/>
      <c r="J297" s="3557"/>
      <c r="K297" s="3557"/>
      <c r="L297" s="3557"/>
      <c r="M297" s="3557"/>
      <c r="N297" s="3557"/>
      <c r="O297" s="3557"/>
      <c r="P297" s="3557"/>
    </row>
    <row r="298" spans="1:19" ht="30" customHeight="1">
      <c r="A298" s="3554" t="s">
        <v>1493</v>
      </c>
      <c r="B298" s="3554"/>
      <c r="C298" s="3554"/>
      <c r="D298" s="3554"/>
      <c r="E298" s="3554"/>
      <c r="F298" s="3554"/>
      <c r="G298" s="3554"/>
      <c r="H298" s="3554"/>
      <c r="I298" s="3554"/>
      <c r="J298" s="3554"/>
      <c r="K298" s="3554"/>
      <c r="L298" s="3554"/>
      <c r="M298" s="3554"/>
      <c r="N298" s="3554"/>
      <c r="O298" s="3554"/>
      <c r="P298" s="3554"/>
    </row>
    <row r="299" spans="1:19">
      <c r="A299" s="2967" t="s">
        <v>1487</v>
      </c>
      <c r="B299" s="180"/>
      <c r="C299" s="180"/>
      <c r="D299" s="180"/>
      <c r="E299" s="180"/>
      <c r="F299" s="180"/>
      <c r="G299" s="180"/>
      <c r="H299" s="180"/>
      <c r="I299" s="180"/>
      <c r="J299" s="180"/>
      <c r="K299" s="180"/>
    </row>
  </sheetData>
  <sheetProtection password="C6DB" sheet="1" objects="1" scenarios="1" formatCells="0" formatColumns="0" formatRows="0"/>
  <mergeCells count="17">
    <mergeCell ref="A3:Y3"/>
    <mergeCell ref="A4:Y4"/>
    <mergeCell ref="A2:Y2"/>
    <mergeCell ref="A6:A7"/>
    <mergeCell ref="D6:D7"/>
    <mergeCell ref="E6:K6"/>
    <mergeCell ref="L6:R6"/>
    <mergeCell ref="S6:Y6"/>
    <mergeCell ref="B6:B7"/>
    <mergeCell ref="C6:C7"/>
    <mergeCell ref="A298:P298"/>
    <mergeCell ref="A295:P295"/>
    <mergeCell ref="A296:P296"/>
    <mergeCell ref="A297:P297"/>
    <mergeCell ref="AA6:AA7"/>
    <mergeCell ref="A293:F293"/>
    <mergeCell ref="A294:F294"/>
  </mergeCells>
  <printOptions horizontalCentered="1" vertic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4" manualBreakCount="4">
    <brk id="58" max="26" man="1"/>
    <brk id="108" max="26" man="1"/>
    <brk id="149" max="26" man="1"/>
    <brk id="189" max="26" man="1"/>
  </rowBreaks>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AI130"/>
  <sheetViews>
    <sheetView view="pageBreakPreview" zoomScale="85" zoomScaleNormal="100" zoomScaleSheetLayoutView="85" workbookViewId="0">
      <pane xSplit="4" ySplit="9" topLeftCell="E22" activePane="bottomRight" state="frozen"/>
      <selection pane="topRight" activeCell="E1" sqref="E1"/>
      <selection pane="bottomLeft" activeCell="A10" sqref="A10"/>
      <selection pane="bottomRight" activeCell="K34" sqref="K34"/>
    </sheetView>
  </sheetViews>
  <sheetFormatPr defaultRowHeight="12.75"/>
  <cols>
    <col min="1" max="1" width="3.140625" style="649" customWidth="1"/>
    <col min="2" max="2" width="8.85546875" style="258" customWidth="1"/>
    <col min="3" max="3" width="7" style="258" customWidth="1"/>
    <col min="4" max="4" width="46.7109375" style="258" customWidth="1"/>
    <col min="5" max="5" width="10.42578125" style="258" customWidth="1"/>
    <col min="6" max="6" width="10.28515625" style="258" customWidth="1"/>
    <col min="7" max="11" width="9.85546875" style="258" customWidth="1"/>
    <col min="12" max="12" width="9.140625" style="258" customWidth="1"/>
    <col min="13" max="18" width="8.7109375" style="258" customWidth="1"/>
    <col min="19" max="19" width="9.7109375" style="258" customWidth="1"/>
    <col min="20" max="25" width="7.7109375" style="258" customWidth="1"/>
    <col min="26" max="26" width="9.140625" style="258" customWidth="1"/>
    <col min="27" max="32" width="7.7109375" style="258" customWidth="1"/>
    <col min="33" max="33" width="1.5703125" style="338" customWidth="1"/>
    <col min="34" max="34" width="17.28515625" style="537" customWidth="1"/>
    <col min="35" max="16384" width="9.140625" style="338"/>
  </cols>
  <sheetData>
    <row r="1" spans="1:35" ht="13.5">
      <c r="A1" s="2811"/>
      <c r="B1" s="649"/>
      <c r="C1" s="649"/>
      <c r="D1" s="649"/>
      <c r="E1" s="649"/>
      <c r="F1" s="649"/>
      <c r="G1" s="649"/>
      <c r="H1" s="649"/>
      <c r="I1" s="649"/>
      <c r="J1" s="649"/>
      <c r="K1" s="649"/>
      <c r="L1" s="649"/>
      <c r="M1" s="649"/>
      <c r="N1" s="649"/>
      <c r="O1" s="649"/>
      <c r="P1" s="649"/>
      <c r="Q1" s="347" t="s">
        <v>249</v>
      </c>
      <c r="R1" s="649"/>
      <c r="S1" s="346"/>
      <c r="Z1" s="293"/>
      <c r="AF1" s="347" t="s">
        <v>249</v>
      </c>
    </row>
    <row r="2" spans="1:35" ht="42" customHeight="1">
      <c r="A2" s="3562" t="s">
        <v>1415</v>
      </c>
      <c r="B2" s="3562"/>
      <c r="C2" s="3562"/>
      <c r="D2" s="3562"/>
      <c r="E2" s="3562"/>
      <c r="F2" s="3562"/>
      <c r="G2" s="3562"/>
      <c r="H2" s="3562"/>
      <c r="I2" s="3562"/>
      <c r="J2" s="3562"/>
      <c r="K2" s="3562"/>
      <c r="L2" s="3562"/>
      <c r="M2" s="3562"/>
      <c r="N2" s="3562"/>
      <c r="O2" s="3562"/>
      <c r="P2" s="3562"/>
      <c r="Q2" s="3562"/>
      <c r="R2" s="3562"/>
      <c r="S2" s="1949"/>
      <c r="T2" s="1949"/>
      <c r="U2" s="1949"/>
      <c r="V2" s="1949"/>
      <c r="W2" s="1949"/>
      <c r="X2" s="1949"/>
      <c r="Y2" s="1949"/>
      <c r="Z2" s="1949"/>
      <c r="AA2" s="1949"/>
      <c r="AB2" s="1949"/>
      <c r="AC2" s="1949"/>
      <c r="AD2" s="1949"/>
      <c r="AE2" s="1949"/>
      <c r="AF2" s="1949"/>
    </row>
    <row r="3" spans="1:35" ht="15.75">
      <c r="A3" s="3569" t="str">
        <f>'1. Анкетна карта'!A3:J3</f>
        <v>на "Водоснабдяване и канализация" ЕООД , гр. Благоевград</v>
      </c>
      <c r="B3" s="3569"/>
      <c r="C3" s="3569"/>
      <c r="D3" s="3569"/>
      <c r="E3" s="3569"/>
      <c r="F3" s="3569"/>
      <c r="G3" s="3569"/>
      <c r="H3" s="3569"/>
      <c r="I3" s="3569"/>
      <c r="J3" s="3569"/>
      <c r="K3" s="3569"/>
      <c r="L3" s="3569"/>
      <c r="M3" s="3569"/>
      <c r="N3" s="3569"/>
      <c r="O3" s="3569"/>
      <c r="P3" s="3569"/>
      <c r="Q3" s="3569"/>
      <c r="R3" s="3569"/>
      <c r="S3" s="1950"/>
      <c r="T3" s="1950"/>
      <c r="U3" s="1950"/>
      <c r="V3" s="1950"/>
      <c r="W3" s="1950"/>
      <c r="X3" s="1950"/>
      <c r="Y3" s="1950"/>
      <c r="Z3" s="1950"/>
      <c r="AA3" s="1950"/>
      <c r="AB3" s="1950"/>
      <c r="AC3" s="1950"/>
      <c r="AD3" s="1950"/>
      <c r="AE3" s="1950"/>
      <c r="AF3" s="1950"/>
    </row>
    <row r="4" spans="1:35" ht="16.5" thickBot="1">
      <c r="A4" s="3569" t="str">
        <f>'1. Анкетна карта'!A4:J4</f>
        <v>ЕИК по БУЛСТАТ: 811047831</v>
      </c>
      <c r="B4" s="3569"/>
      <c r="C4" s="3569"/>
      <c r="D4" s="3569"/>
      <c r="E4" s="3569"/>
      <c r="F4" s="3569"/>
      <c r="G4" s="3569"/>
      <c r="H4" s="3569"/>
      <c r="I4" s="3569"/>
      <c r="J4" s="3569"/>
      <c r="K4" s="3569"/>
      <c r="L4" s="3569"/>
      <c r="M4" s="3569"/>
      <c r="N4" s="3569"/>
      <c r="O4" s="3569"/>
      <c r="P4" s="3569"/>
      <c r="Q4" s="3569"/>
      <c r="R4" s="3569"/>
      <c r="S4" s="1950"/>
      <c r="T4" s="1950"/>
      <c r="U4" s="1950"/>
      <c r="V4" s="1950"/>
      <c r="W4" s="1950"/>
      <c r="X4" s="1950"/>
      <c r="Y4" s="1950"/>
      <c r="Z4" s="1950"/>
      <c r="AA4" s="1950"/>
      <c r="AB4" s="1950"/>
      <c r="AC4" s="1950"/>
      <c r="AD4" s="1950"/>
      <c r="AE4" s="1950"/>
      <c r="AF4" s="1950"/>
    </row>
    <row r="5" spans="1:35" ht="16.5" thickBot="1">
      <c r="A5" s="2812"/>
      <c r="B5" s="338"/>
      <c r="C5" s="525"/>
      <c r="D5" s="526" t="s">
        <v>843</v>
      </c>
      <c r="E5" s="602">
        <v>1</v>
      </c>
      <c r="F5" s="522"/>
      <c r="G5" s="2812"/>
      <c r="H5" s="515"/>
      <c r="I5" s="2812"/>
      <c r="J5" s="2812"/>
      <c r="K5" s="2812"/>
      <c r="L5" s="2812"/>
      <c r="M5" s="2812"/>
      <c r="N5" s="2812"/>
      <c r="O5" s="2812"/>
      <c r="P5" s="2812"/>
      <c r="Q5" s="2812"/>
      <c r="R5" s="2812"/>
      <c r="S5" s="2812"/>
      <c r="T5" s="2812"/>
      <c r="U5" s="2812"/>
      <c r="V5" s="2812"/>
      <c r="W5" s="2812"/>
      <c r="X5" s="2812"/>
      <c r="Y5" s="2812"/>
      <c r="Z5" s="2812"/>
      <c r="AA5" s="2812"/>
      <c r="AB5" s="2812"/>
      <c r="AC5" s="2812"/>
      <c r="AD5" s="2812"/>
      <c r="AE5" s="2812"/>
      <c r="AF5" s="2812"/>
    </row>
    <row r="6" spans="1:35" ht="16.5" thickBot="1">
      <c r="A6" s="2812"/>
      <c r="B6" s="338"/>
      <c r="C6" s="527"/>
      <c r="D6" s="526" t="s">
        <v>865</v>
      </c>
      <c r="E6" s="528">
        <f>12/6</f>
        <v>2</v>
      </c>
      <c r="F6" s="2812"/>
      <c r="G6" s="2812"/>
      <c r="H6" s="515"/>
      <c r="I6" s="2812"/>
      <c r="J6" s="2812"/>
      <c r="K6" s="2812"/>
      <c r="L6" s="2812"/>
      <c r="M6" s="2812"/>
      <c r="N6" s="2812"/>
      <c r="O6" s="2812"/>
      <c r="P6" s="2812"/>
      <c r="Q6" s="2812"/>
      <c r="R6" s="2812"/>
      <c r="S6" s="2812"/>
      <c r="T6" s="2812"/>
      <c r="U6" s="2812"/>
      <c r="V6" s="2812"/>
      <c r="W6" s="2812"/>
      <c r="X6" s="2812"/>
      <c r="Y6" s="2812"/>
      <c r="Z6" s="2812"/>
      <c r="AA6" s="2812"/>
      <c r="AB6" s="2812"/>
      <c r="AC6" s="2812"/>
      <c r="AD6" s="2812"/>
      <c r="AE6" s="2812"/>
      <c r="AF6" s="2812"/>
    </row>
    <row r="7" spans="1:35" ht="13.5" thickBot="1">
      <c r="H7" s="516"/>
      <c r="AA7" s="294"/>
      <c r="AB7" s="295"/>
      <c r="AF7" s="38" t="s">
        <v>250</v>
      </c>
    </row>
    <row r="8" spans="1:35" ht="13.5" thickBot="1">
      <c r="A8" s="3572" t="s">
        <v>1</v>
      </c>
      <c r="B8" s="3567" t="s">
        <v>1489</v>
      </c>
      <c r="C8" s="3567" t="s">
        <v>1488</v>
      </c>
      <c r="D8" s="3572" t="s">
        <v>95</v>
      </c>
      <c r="E8" s="3572" t="s">
        <v>273</v>
      </c>
      <c r="F8" s="3574"/>
      <c r="G8" s="3574"/>
      <c r="H8" s="3574"/>
      <c r="I8" s="3574"/>
      <c r="J8" s="3574"/>
      <c r="K8" s="3575"/>
      <c r="L8" s="3572" t="s">
        <v>230</v>
      </c>
      <c r="M8" s="3574"/>
      <c r="N8" s="3574"/>
      <c r="O8" s="3574"/>
      <c r="P8" s="3574"/>
      <c r="Q8" s="3574"/>
      <c r="R8" s="3575"/>
      <c r="S8" s="3572" t="s">
        <v>241</v>
      </c>
      <c r="T8" s="3574"/>
      <c r="U8" s="3574"/>
      <c r="V8" s="3574"/>
      <c r="W8" s="3574"/>
      <c r="X8" s="3574"/>
      <c r="Y8" s="3575"/>
      <c r="Z8" s="3572" t="s">
        <v>894</v>
      </c>
      <c r="AA8" s="3574"/>
      <c r="AB8" s="3574"/>
      <c r="AC8" s="3574"/>
      <c r="AD8" s="3574"/>
      <c r="AE8" s="3574"/>
      <c r="AF8" s="3575"/>
      <c r="AH8" s="3570" t="s">
        <v>912</v>
      </c>
    </row>
    <row r="9" spans="1:35" ht="20.25" customHeight="1" thickBot="1">
      <c r="A9" s="3573"/>
      <c r="B9" s="3568"/>
      <c r="C9" s="3568"/>
      <c r="D9" s="3573"/>
      <c r="E9" s="1161" t="str">
        <f>'Приложение '!G12</f>
        <v>2015 г.</v>
      </c>
      <c r="F9" s="1156" t="str">
        <f>'Приложение '!G13</f>
        <v>2016 г.</v>
      </c>
      <c r="G9" s="1157" t="str">
        <f>'Приложение '!G14</f>
        <v>2017 г.</v>
      </c>
      <c r="H9" s="1157" t="str">
        <f>'Приложение '!G15</f>
        <v>2018 г.</v>
      </c>
      <c r="I9" s="1157" t="str">
        <f>'Приложение '!G16</f>
        <v>2019 г.</v>
      </c>
      <c r="J9" s="1157" t="str">
        <f>'Приложение '!G17</f>
        <v>2020 г.</v>
      </c>
      <c r="K9" s="1158" t="str">
        <f>'Приложение '!G18</f>
        <v>2021 г.</v>
      </c>
      <c r="L9" s="1161" t="str">
        <f t="shared" ref="L9:AF9" si="0">E9</f>
        <v>2015 г.</v>
      </c>
      <c r="M9" s="1156" t="str">
        <f t="shared" si="0"/>
        <v>2016 г.</v>
      </c>
      <c r="N9" s="1157" t="str">
        <f t="shared" si="0"/>
        <v>2017 г.</v>
      </c>
      <c r="O9" s="1157" t="str">
        <f t="shared" si="0"/>
        <v>2018 г.</v>
      </c>
      <c r="P9" s="1157" t="str">
        <f t="shared" si="0"/>
        <v>2019 г.</v>
      </c>
      <c r="Q9" s="1157" t="str">
        <f t="shared" si="0"/>
        <v>2020 г.</v>
      </c>
      <c r="R9" s="1158" t="str">
        <f t="shared" si="0"/>
        <v>2021 г.</v>
      </c>
      <c r="S9" s="1162" t="str">
        <f t="shared" si="0"/>
        <v>2015 г.</v>
      </c>
      <c r="T9" s="1159" t="str">
        <f t="shared" si="0"/>
        <v>2016 г.</v>
      </c>
      <c r="U9" s="1157" t="str">
        <f t="shared" si="0"/>
        <v>2017 г.</v>
      </c>
      <c r="V9" s="1157" t="str">
        <f t="shared" si="0"/>
        <v>2018 г.</v>
      </c>
      <c r="W9" s="1159" t="str">
        <f t="shared" si="0"/>
        <v>2019 г.</v>
      </c>
      <c r="X9" s="1157" t="str">
        <f t="shared" si="0"/>
        <v>2020 г.</v>
      </c>
      <c r="Y9" s="1158" t="str">
        <f t="shared" si="0"/>
        <v>2021 г.</v>
      </c>
      <c r="Z9" s="1162" t="str">
        <f t="shared" si="0"/>
        <v>2015 г.</v>
      </c>
      <c r="AA9" s="1159" t="str">
        <f t="shared" si="0"/>
        <v>2016 г.</v>
      </c>
      <c r="AB9" s="1157" t="str">
        <f t="shared" si="0"/>
        <v>2017 г.</v>
      </c>
      <c r="AC9" s="1157" t="str">
        <f t="shared" si="0"/>
        <v>2018 г.</v>
      </c>
      <c r="AD9" s="1157" t="str">
        <f t="shared" si="0"/>
        <v>2019 г.</v>
      </c>
      <c r="AE9" s="1157" t="str">
        <f t="shared" si="0"/>
        <v>2020 г.</v>
      </c>
      <c r="AF9" s="1158" t="str">
        <f t="shared" si="0"/>
        <v>2021 г.</v>
      </c>
      <c r="AH9" s="3571"/>
    </row>
    <row r="10" spans="1:35" s="297" customFormat="1" ht="17.25" customHeight="1" thickBot="1">
      <c r="A10" s="1539" t="s">
        <v>268</v>
      </c>
      <c r="B10" s="245"/>
      <c r="C10" s="245"/>
      <c r="D10" s="245" t="s">
        <v>483</v>
      </c>
      <c r="E10" s="921">
        <f t="shared" ref="E10:AF10" si="1">E11+E14+E17+E29+E44+E49+SUM(E53:E58)</f>
        <v>1494</v>
      </c>
      <c r="F10" s="922">
        <f t="shared" si="1"/>
        <v>2066</v>
      </c>
      <c r="G10" s="242">
        <f t="shared" si="1"/>
        <v>1340</v>
      </c>
      <c r="H10" s="242">
        <f t="shared" si="1"/>
        <v>1602</v>
      </c>
      <c r="I10" s="242">
        <f t="shared" si="1"/>
        <v>1893</v>
      </c>
      <c r="J10" s="242">
        <f t="shared" si="1"/>
        <v>2379</v>
      </c>
      <c r="K10" s="243">
        <f t="shared" si="1"/>
        <v>1975</v>
      </c>
      <c r="L10" s="1965">
        <f t="shared" si="1"/>
        <v>31</v>
      </c>
      <c r="M10" s="922">
        <f t="shared" si="1"/>
        <v>193</v>
      </c>
      <c r="N10" s="242">
        <f t="shared" si="1"/>
        <v>686</v>
      </c>
      <c r="O10" s="242">
        <f t="shared" si="1"/>
        <v>155</v>
      </c>
      <c r="P10" s="242">
        <f t="shared" si="1"/>
        <v>614</v>
      </c>
      <c r="Q10" s="242">
        <f t="shared" si="1"/>
        <v>1163</v>
      </c>
      <c r="R10" s="243">
        <f t="shared" si="1"/>
        <v>925</v>
      </c>
      <c r="S10" s="648">
        <f t="shared" si="1"/>
        <v>0</v>
      </c>
      <c r="T10" s="241">
        <f t="shared" si="1"/>
        <v>174</v>
      </c>
      <c r="U10" s="242">
        <f t="shared" si="1"/>
        <v>48</v>
      </c>
      <c r="V10" s="242">
        <f t="shared" si="1"/>
        <v>228</v>
      </c>
      <c r="W10" s="242">
        <f t="shared" si="1"/>
        <v>115</v>
      </c>
      <c r="X10" s="242">
        <f t="shared" si="1"/>
        <v>75</v>
      </c>
      <c r="Y10" s="243">
        <f t="shared" si="1"/>
        <v>73</v>
      </c>
      <c r="Z10" s="648">
        <f t="shared" si="1"/>
        <v>0</v>
      </c>
      <c r="AA10" s="241">
        <f t="shared" si="1"/>
        <v>0</v>
      </c>
      <c r="AB10" s="242">
        <f t="shared" si="1"/>
        <v>269</v>
      </c>
      <c r="AC10" s="242">
        <f t="shared" si="1"/>
        <v>864</v>
      </c>
      <c r="AD10" s="242">
        <f t="shared" si="1"/>
        <v>463</v>
      </c>
      <c r="AE10" s="242">
        <f t="shared" si="1"/>
        <v>551</v>
      </c>
      <c r="AF10" s="243">
        <f t="shared" si="1"/>
        <v>541</v>
      </c>
      <c r="AG10" s="296"/>
      <c r="AH10" s="2902">
        <f>SUM(F10:AF10)-L10-S10-Z10-('9.Инвестиционна програма'!L86+'9.Инвестиционна програма'!F86)*'11.1.Амортиз.нови активи'!E5</f>
        <v>0</v>
      </c>
      <c r="AI10" s="298"/>
    </row>
    <row r="11" spans="1:35" s="261" customFormat="1">
      <c r="A11" s="1723">
        <v>1</v>
      </c>
      <c r="B11" s="1723">
        <v>201</v>
      </c>
      <c r="C11" s="1724">
        <v>0</v>
      </c>
      <c r="D11" s="1725" t="s">
        <v>280</v>
      </c>
      <c r="E11" s="1726">
        <f t="shared" ref="E11:AF11" si="2">SUM(E12:E13)</f>
        <v>345</v>
      </c>
      <c r="F11" s="927">
        <f t="shared" si="2"/>
        <v>0</v>
      </c>
      <c r="G11" s="928">
        <f t="shared" si="2"/>
        <v>0</v>
      </c>
      <c r="H11" s="928">
        <f t="shared" si="2"/>
        <v>0</v>
      </c>
      <c r="I11" s="928">
        <f t="shared" si="2"/>
        <v>0</v>
      </c>
      <c r="J11" s="928">
        <f t="shared" si="2"/>
        <v>0</v>
      </c>
      <c r="K11" s="929">
        <f t="shared" si="2"/>
        <v>0</v>
      </c>
      <c r="L11" s="1985">
        <f t="shared" si="2"/>
        <v>11</v>
      </c>
      <c r="M11" s="927">
        <f t="shared" si="2"/>
        <v>0</v>
      </c>
      <c r="N11" s="928">
        <f t="shared" si="2"/>
        <v>0</v>
      </c>
      <c r="O11" s="928">
        <f t="shared" si="2"/>
        <v>0</v>
      </c>
      <c r="P11" s="928">
        <f t="shared" si="2"/>
        <v>0</v>
      </c>
      <c r="Q11" s="928">
        <f t="shared" si="2"/>
        <v>0</v>
      </c>
      <c r="R11" s="929">
        <f t="shared" si="2"/>
        <v>0</v>
      </c>
      <c r="S11" s="976">
        <f t="shared" si="2"/>
        <v>0</v>
      </c>
      <c r="T11" s="2792">
        <f t="shared" si="2"/>
        <v>0</v>
      </c>
      <c r="U11" s="928">
        <f t="shared" si="2"/>
        <v>0</v>
      </c>
      <c r="V11" s="928">
        <f t="shared" si="2"/>
        <v>0</v>
      </c>
      <c r="W11" s="928">
        <f t="shared" si="2"/>
        <v>0</v>
      </c>
      <c r="X11" s="928">
        <f t="shared" si="2"/>
        <v>0</v>
      </c>
      <c r="Y11" s="929">
        <f t="shared" si="2"/>
        <v>0</v>
      </c>
      <c r="Z11" s="976">
        <f t="shared" si="2"/>
        <v>0</v>
      </c>
      <c r="AA11" s="927">
        <f t="shared" si="2"/>
        <v>0</v>
      </c>
      <c r="AB11" s="928">
        <f t="shared" si="2"/>
        <v>0</v>
      </c>
      <c r="AC11" s="928">
        <f t="shared" si="2"/>
        <v>0</v>
      </c>
      <c r="AD11" s="928">
        <f t="shared" si="2"/>
        <v>0</v>
      </c>
      <c r="AE11" s="928">
        <f t="shared" si="2"/>
        <v>0</v>
      </c>
      <c r="AF11" s="929">
        <f t="shared" si="2"/>
        <v>0</v>
      </c>
      <c r="AG11" s="305"/>
      <c r="AH11" s="563"/>
    </row>
    <row r="12" spans="1:35" s="293" customFormat="1">
      <c r="A12" s="278"/>
      <c r="B12" s="278">
        <v>20101</v>
      </c>
      <c r="C12" s="882">
        <v>0</v>
      </c>
      <c r="D12" s="264" t="s">
        <v>758</v>
      </c>
      <c r="E12" s="930">
        <f>'11.2. Нови активи отч.год.'!E13</f>
        <v>345</v>
      </c>
      <c r="F12" s="898">
        <f>SUMIF('9.Инвестиционна програма'!$B$11:$B$34,$B12,'9.Инвестиционна програма'!F$11:F$34)*$E$5</f>
        <v>0</v>
      </c>
      <c r="G12" s="887">
        <f>SUMIF('9.Инвестиционна програма'!$B$11:$B$34,$B12,'9.Инвестиционна програма'!G$11:G$34)*$E$5</f>
        <v>0</v>
      </c>
      <c r="H12" s="887">
        <f>SUMIF('9.Инвестиционна програма'!$B$11:$B$34,$B12,'9.Инвестиционна програма'!H$11:H$34)*$E$5</f>
        <v>0</v>
      </c>
      <c r="I12" s="887">
        <f>SUMIF('9.Инвестиционна програма'!$B$11:$B$34,$B12,'9.Инвестиционна програма'!I$11:I$34)*$E$5</f>
        <v>0</v>
      </c>
      <c r="J12" s="887">
        <f>SUMIF('9.Инвестиционна програма'!$B$11:$B$34,$B12,'9.Инвестиционна програма'!J$11:J$34)*$E$5</f>
        <v>0</v>
      </c>
      <c r="K12" s="888">
        <f>SUMIF('9.Инвестиционна програма'!$B$11:$B$34,$B12,'9.Инвестиционна програма'!K$11:K$34)*$E$5</f>
        <v>0</v>
      </c>
      <c r="L12" s="1442">
        <f>'11.2. Нови активи отч.год.'!L13</f>
        <v>11</v>
      </c>
      <c r="M12" s="886">
        <f>SUMIF('9.Инвестиционна програма'!$B$36:$B$46,$B12,'9.Инвестиционна програма'!F$36:F$46)*$E$5</f>
        <v>0</v>
      </c>
      <c r="N12" s="887">
        <f>SUMIF('9.Инвестиционна програма'!$B$36:$B$46,$B12,'9.Инвестиционна програма'!G$36:G$46)*$E$5</f>
        <v>0</v>
      </c>
      <c r="O12" s="887">
        <f>SUMIF('9.Инвестиционна програма'!$B$36:$B$46,$B12,'9.Инвестиционна програма'!H$36:H$46)*$E$5</f>
        <v>0</v>
      </c>
      <c r="P12" s="887">
        <f>SUMIF('9.Инвестиционна програма'!$B$36:$B$46,$B12,'9.Инвестиционна програма'!I$36:I$46)*$E$5</f>
        <v>0</v>
      </c>
      <c r="Q12" s="887">
        <f>SUMIF('9.Инвестиционна програма'!$B$36:$B$46,$B12,'9.Инвестиционна програма'!J$36:J$46)*$E$5</f>
        <v>0</v>
      </c>
      <c r="R12" s="888">
        <f>SUMIF('9.Инвестиционна програма'!$B$36:$B$46,$B12,'9.Инвестиционна програма'!K$36:K$46)*$E$5</f>
        <v>0</v>
      </c>
      <c r="S12" s="931">
        <f>'11.2. Нови активи отч.год.'!S13</f>
        <v>0</v>
      </c>
      <c r="T12" s="932">
        <f>SUMIF('9.Инвестиционна програма'!$B$48:$B$55,$B12,'9.Инвестиционна програма'!F$48:F$55)*$E$5</f>
        <v>0</v>
      </c>
      <c r="U12" s="932">
        <f>SUMIF('9.Инвестиционна програма'!$B$48:$B$55,$B12,'9.Инвестиционна програма'!G$48:G$55)*$E$5</f>
        <v>0</v>
      </c>
      <c r="V12" s="932">
        <f>SUMIF('9.Инвестиционна програма'!$B$48:$B$55,$B12,'9.Инвестиционна програма'!H$48:H$55)*$E$5</f>
        <v>0</v>
      </c>
      <c r="W12" s="932">
        <f>SUMIF('9.Инвестиционна програма'!$B$48:$B$55,$B12,'9.Инвестиционна програма'!I$48:I$55)*$E$5</f>
        <v>0</v>
      </c>
      <c r="X12" s="932">
        <f>SUMIF('9.Инвестиционна програма'!$B$48:$B$55,$B12,'9.Инвестиционна програма'!J$48:J$55)*$E$5</f>
        <v>0</v>
      </c>
      <c r="Y12" s="932">
        <f>SUMIF('9.Инвестиционна програма'!$B$48:$B$55,$B12,'9.Инвестиционна програма'!K$48:K$55)*$E$5</f>
        <v>0</v>
      </c>
      <c r="Z12" s="931">
        <f>'11.2. Нови активи отч.год.'!Z13</f>
        <v>0</v>
      </c>
      <c r="AA12" s="886">
        <f>(SUMIF('9.Инвестиционна програма'!$B$57:$B$58,$B12,'9.Инвестиционна програма'!F$57:F$58)+SUMIF('9.Инвестиционна програма'!$B$60:$B$67,$B12,'9.Инвестиционна програма'!F$60:F$67))*$E$5</f>
        <v>0</v>
      </c>
      <c r="AB12" s="933">
        <f>(SUMIF('9.Инвестиционна програма'!$B$57:$B$58,$B12,'9.Инвестиционна програма'!G$57:G$58)+SUMIF('9.Инвестиционна програма'!$B$60:$B$67,$B12,'9.Инвестиционна програма'!G$60:G$67))*$E$5</f>
        <v>0</v>
      </c>
      <c r="AC12" s="933">
        <f>(SUMIF('9.Инвестиционна програма'!$B$57:$B$58,$B12,'9.Инвестиционна програма'!H$57:H$58)+SUMIF('9.Инвестиционна програма'!$B$60:$B$67,$B12,'9.Инвестиционна програма'!H$60:H$67))*$E$5</f>
        <v>0</v>
      </c>
      <c r="AD12" s="933">
        <f>(SUMIF('9.Инвестиционна програма'!$B$57:$B$58,$B12,'9.Инвестиционна програма'!I$57:I$58)+SUMIF('9.Инвестиционна програма'!$B$60:$B$67,$B12,'9.Инвестиционна програма'!I$60:I$67))*$E$5</f>
        <v>0</v>
      </c>
      <c r="AE12" s="933">
        <f>(SUMIF('9.Инвестиционна програма'!$B$57:$B$58,$B12,'9.Инвестиционна програма'!J$57:J$58)+SUMIF('9.Инвестиционна програма'!$B$60:$B$67,$B12,'9.Инвестиционна програма'!J$60:J$67))*$E$5</f>
        <v>0</v>
      </c>
      <c r="AF12" s="934">
        <f>(SUMIF('9.Инвестиционна програма'!$B$57:$B$58,$B12,'9.Инвестиционна програма'!K$57:K$58)+SUMIF('9.Инвестиционна програма'!$B$60:$B$67,$B12,'9.Инвестиционна програма'!K$60:K$67))*$E$5</f>
        <v>0</v>
      </c>
      <c r="AG12" s="510"/>
      <c r="AH12" s="564"/>
    </row>
    <row r="13" spans="1:35" s="293" customFormat="1">
      <c r="A13" s="278"/>
      <c r="B13" s="1550">
        <v>20102</v>
      </c>
      <c r="C13" s="1551">
        <v>0</v>
      </c>
      <c r="D13" s="1558" t="s">
        <v>760</v>
      </c>
      <c r="E13" s="930">
        <f>'11.2. Нови активи отч.год.'!E14</f>
        <v>0</v>
      </c>
      <c r="F13" s="886">
        <f>SUMIF('9.Инвестиционна програма'!$B$11:$B$34,$B13,'9.Инвестиционна програма'!F$11:F$34)*$E$5</f>
        <v>0</v>
      </c>
      <c r="G13" s="887">
        <f>SUMIF('9.Инвестиционна програма'!$B$11:$B$34,$B13,'9.Инвестиционна програма'!G$11:G$34)*$E$5</f>
        <v>0</v>
      </c>
      <c r="H13" s="887">
        <f>SUMIF('9.Инвестиционна програма'!$B$11:$B$34,$B13,'9.Инвестиционна програма'!H$11:H$34)*$E$5</f>
        <v>0</v>
      </c>
      <c r="I13" s="887">
        <f>SUMIF('9.Инвестиционна програма'!$B$11:$B$34,$B13,'9.Инвестиционна програма'!I$11:I$34)*$E$5</f>
        <v>0</v>
      </c>
      <c r="J13" s="887">
        <f>SUMIF('9.Инвестиционна програма'!$B$11:$B$34,$B13,'9.Инвестиционна програма'!J$11:J$34)*$E$5</f>
        <v>0</v>
      </c>
      <c r="K13" s="888">
        <f>SUMIF('9.Инвестиционна програма'!$B$11:$B$34,$B13,'9.Инвестиционна програма'!K$11:K$34)*$E$5</f>
        <v>0</v>
      </c>
      <c r="L13" s="1442">
        <f>'11.2. Нови активи отч.год.'!L14</f>
        <v>0</v>
      </c>
      <c r="M13" s="935">
        <f>SUMIF('9.Инвестиционна програма'!$B$36:$B$46,$B13,'9.Инвестиционна програма'!F$36:F$46)*$E$5</f>
        <v>0</v>
      </c>
      <c r="N13" s="936">
        <f>SUMIF('9.Инвестиционна програма'!$B$36:$B$46,$B13,'9.Инвестиционна програма'!G$36:G$46)*$E$5</f>
        <v>0</v>
      </c>
      <c r="O13" s="936">
        <f>SUMIF('9.Инвестиционна програма'!$B$36:$B$46,$B13,'9.Инвестиционна програма'!H$36:H$46)*$E$5</f>
        <v>0</v>
      </c>
      <c r="P13" s="936">
        <f>SUMIF('9.Инвестиционна програма'!$B$36:$B$46,$B13,'9.Инвестиционна програма'!I$36:I$46)*$E$5</f>
        <v>0</v>
      </c>
      <c r="Q13" s="936">
        <f>SUMIF('9.Инвестиционна програма'!$B$36:$B$46,$B13,'9.Инвестиционна програма'!J$36:J$46)*$E$5</f>
        <v>0</v>
      </c>
      <c r="R13" s="937">
        <f>SUMIF('9.Инвестиционна програма'!$B$36:$B$46,$B13,'9.Инвестиционна програма'!K$36:K$46)*$E$5</f>
        <v>0</v>
      </c>
      <c r="S13" s="931">
        <f>'11.2. Нови активи отч.год.'!S14</f>
        <v>0</v>
      </c>
      <c r="T13" s="932">
        <f>SUMIF('9.Инвестиционна програма'!$B$48:$B$55,$B13,'9.Инвестиционна програма'!F$48:F$55)*$E$5</f>
        <v>0</v>
      </c>
      <c r="U13" s="932">
        <f>SUMIF('9.Инвестиционна програма'!$B$48:$B$55,$B13,'9.Инвестиционна програма'!G$48:G$55)*$E$5</f>
        <v>0</v>
      </c>
      <c r="V13" s="932">
        <f>SUMIF('9.Инвестиционна програма'!$B$48:$B$55,$B13,'9.Инвестиционна програма'!H$48:H$55)*$E$5</f>
        <v>0</v>
      </c>
      <c r="W13" s="932">
        <f>SUMIF('9.Инвестиционна програма'!$B$48:$B$55,$B13,'9.Инвестиционна програма'!I$48:I$55)*$E$5</f>
        <v>0</v>
      </c>
      <c r="X13" s="932">
        <f>SUMIF('9.Инвестиционна програма'!$B$48:$B$55,$B13,'9.Инвестиционна програма'!J$48:J$55)*$E$5</f>
        <v>0</v>
      </c>
      <c r="Y13" s="932">
        <f>SUMIF('9.Инвестиционна програма'!$B$48:$B$55,$B13,'9.Инвестиционна програма'!K$48:K$55)*$E$5</f>
        <v>0</v>
      </c>
      <c r="Z13" s="931">
        <f>'11.2. Нови активи отч.год.'!Z14</f>
        <v>0</v>
      </c>
      <c r="AA13" s="935">
        <f>(SUMIF('9.Инвестиционна програма'!$B$57:$B$58,$B13,'9.Инвестиционна програма'!F$57:F$58)+SUMIF('9.Инвестиционна програма'!$B$60:$B$67,$B13,'9.Инвестиционна програма'!F$60:F$67))*$E$5</f>
        <v>0</v>
      </c>
      <c r="AB13" s="932">
        <f>(SUMIF('9.Инвестиционна програма'!$B$57:$B$58,$B13,'9.Инвестиционна програма'!G$57:G$58)+SUMIF('9.Инвестиционна програма'!$B$60:$B$67,$B13,'9.Инвестиционна програма'!G$60:G$67))*$E$5</f>
        <v>0</v>
      </c>
      <c r="AC13" s="932">
        <f>(SUMIF('9.Инвестиционна програма'!$B$57:$B$58,$B13,'9.Инвестиционна програма'!H$57:H$58)+SUMIF('9.Инвестиционна програма'!$B$60:$B$67,$B13,'9.Инвестиционна програма'!H$60:H$67))*$E$5</f>
        <v>0</v>
      </c>
      <c r="AD13" s="932">
        <f>(SUMIF('9.Инвестиционна програма'!$B$57:$B$58,$B13,'9.Инвестиционна програма'!I$57:I$58)+SUMIF('9.Инвестиционна програма'!$B$60:$B$67,$B13,'9.Инвестиционна програма'!I$60:I$67))*$E$5</f>
        <v>0</v>
      </c>
      <c r="AE13" s="932">
        <f>(SUMIF('9.Инвестиционна програма'!$B$57:$B$58,$B13,'9.Инвестиционна програма'!J$57:J$58)+SUMIF('9.Инвестиционна програма'!$B$60:$B$67,$B13,'9.Инвестиционна програма'!J$60:J$67))*$E$5</f>
        <v>0</v>
      </c>
      <c r="AF13" s="938">
        <f>(SUMIF('9.Инвестиционна програма'!$B$57:$B$58,$B13,'9.Инвестиционна програма'!K$57:K$58)+SUMIF('9.Инвестиционна програма'!$B$60:$B$67,$B13,'9.Инвестиционна програма'!K$60:K$67))*$E$5</f>
        <v>0</v>
      </c>
      <c r="AG13" s="306"/>
      <c r="AH13" s="564"/>
    </row>
    <row r="14" spans="1:35" s="261" customFormat="1">
      <c r="A14" s="939">
        <v>2</v>
      </c>
      <c r="B14" s="1728">
        <v>202</v>
      </c>
      <c r="C14" s="1729">
        <v>0.03</v>
      </c>
      <c r="D14" s="1730" t="s">
        <v>576</v>
      </c>
      <c r="E14" s="942">
        <f>SUM(E15:E16)</f>
        <v>28</v>
      </c>
      <c r="F14" s="890">
        <f>SUM(F15:F16)</f>
        <v>0</v>
      </c>
      <c r="G14" s="891">
        <f t="shared" ref="G14:AF14" si="3">SUM(G15:G16)</f>
        <v>6</v>
      </c>
      <c r="H14" s="891">
        <f t="shared" si="3"/>
        <v>10</v>
      </c>
      <c r="I14" s="891">
        <f t="shared" si="3"/>
        <v>35</v>
      </c>
      <c r="J14" s="891">
        <f t="shared" si="3"/>
        <v>30</v>
      </c>
      <c r="K14" s="892">
        <f t="shared" si="3"/>
        <v>30</v>
      </c>
      <c r="L14" s="1986">
        <f t="shared" si="3"/>
        <v>1</v>
      </c>
      <c r="M14" s="890">
        <f t="shared" si="3"/>
        <v>0</v>
      </c>
      <c r="N14" s="891">
        <f t="shared" si="3"/>
        <v>0</v>
      </c>
      <c r="O14" s="891">
        <f t="shared" si="3"/>
        <v>0</v>
      </c>
      <c r="P14" s="891">
        <f t="shared" si="3"/>
        <v>0</v>
      </c>
      <c r="Q14" s="891">
        <f t="shared" si="3"/>
        <v>0</v>
      </c>
      <c r="R14" s="892">
        <f t="shared" si="3"/>
        <v>0</v>
      </c>
      <c r="S14" s="889">
        <f t="shared" si="3"/>
        <v>0</v>
      </c>
      <c r="T14" s="893">
        <f t="shared" si="3"/>
        <v>0</v>
      </c>
      <c r="U14" s="891">
        <f t="shared" si="3"/>
        <v>0</v>
      </c>
      <c r="V14" s="891">
        <f t="shared" si="3"/>
        <v>0</v>
      </c>
      <c r="W14" s="891">
        <f t="shared" si="3"/>
        <v>0</v>
      </c>
      <c r="X14" s="891">
        <f t="shared" si="3"/>
        <v>0</v>
      </c>
      <c r="Y14" s="892">
        <f t="shared" si="3"/>
        <v>0</v>
      </c>
      <c r="Z14" s="889">
        <f t="shared" si="3"/>
        <v>0</v>
      </c>
      <c r="AA14" s="893">
        <f t="shared" si="3"/>
        <v>0</v>
      </c>
      <c r="AB14" s="891">
        <f t="shared" si="3"/>
        <v>126</v>
      </c>
      <c r="AC14" s="891">
        <f t="shared" si="3"/>
        <v>310</v>
      </c>
      <c r="AD14" s="891">
        <f t="shared" si="3"/>
        <v>50</v>
      </c>
      <c r="AE14" s="891">
        <f t="shared" si="3"/>
        <v>70</v>
      </c>
      <c r="AF14" s="892">
        <f t="shared" si="3"/>
        <v>100</v>
      </c>
      <c r="AH14" s="563"/>
    </row>
    <row r="15" spans="1:35">
      <c r="A15" s="277"/>
      <c r="B15" s="1552">
        <v>20201</v>
      </c>
      <c r="C15" s="1553">
        <v>0.03</v>
      </c>
      <c r="D15" s="1556" t="s">
        <v>597</v>
      </c>
      <c r="E15" s="930">
        <f>'11.2. Нови активи отч.год.'!E16</f>
        <v>28</v>
      </c>
      <c r="F15" s="886">
        <f>SUMIF('9.Инвестиционна програма'!$B$11:$B$34,$B15,'9.Инвестиционна програма'!F$11:F$34)*$E$5</f>
        <v>0</v>
      </c>
      <c r="G15" s="887">
        <f>SUMIF('9.Инвестиционна програма'!$B$11:$B$34,$B15,'9.Инвестиционна програма'!G$11:G$34)*$E$5</f>
        <v>0</v>
      </c>
      <c r="H15" s="887">
        <f>SUMIF('9.Инвестиционна програма'!$B$11:$B$34,$B15,'9.Инвестиционна програма'!H$11:H$34)*$E$5</f>
        <v>0</v>
      </c>
      <c r="I15" s="887">
        <f>SUMIF('9.Инвестиционна програма'!$B$11:$B$34,$B15,'9.Инвестиционна програма'!I$11:I$34)*$E$5</f>
        <v>0</v>
      </c>
      <c r="J15" s="887">
        <f>SUMIF('9.Инвестиционна програма'!$B$11:$B$34,$B15,'9.Инвестиционна програма'!J$11:J$34)*$E$5</f>
        <v>0</v>
      </c>
      <c r="K15" s="888">
        <f>SUMIF('9.Инвестиционна програма'!$B$11:$B$34,$B15,'9.Инвестиционна програма'!K$11:K$34)*$E$5</f>
        <v>0</v>
      </c>
      <c r="L15" s="1442">
        <f>'11.2. Нови активи отч.год.'!L16</f>
        <v>1</v>
      </c>
      <c r="M15" s="935">
        <f>SUMIF('9.Инвестиционна програма'!$B$36:$B$46,$B15,'9.Инвестиционна програма'!F$36:F$46)*$E$5</f>
        <v>0</v>
      </c>
      <c r="N15" s="936">
        <f>SUMIF('9.Инвестиционна програма'!$B$36:$B$46,$B15,'9.Инвестиционна програма'!G$36:G$46)*$E$5</f>
        <v>0</v>
      </c>
      <c r="O15" s="936">
        <f>SUMIF('9.Инвестиционна програма'!$B$36:$B$46,$B15,'9.Инвестиционна програма'!H$36:H$46)*$E$5</f>
        <v>0</v>
      </c>
      <c r="P15" s="936">
        <f>SUMIF('9.Инвестиционна програма'!$B$36:$B$46,$B15,'9.Инвестиционна програма'!I$36:I$46)*$E$5</f>
        <v>0</v>
      </c>
      <c r="Q15" s="936">
        <f>SUMIF('9.Инвестиционна програма'!$B$36:$B$46,$B15,'9.Инвестиционна програма'!J$36:J$46)*$E$5</f>
        <v>0</v>
      </c>
      <c r="R15" s="937">
        <f>SUMIF('9.Инвестиционна програма'!$B$36:$B$46,$B15,'9.Инвестиционна програма'!K$36:K$46)*$E$5</f>
        <v>0</v>
      </c>
      <c r="S15" s="931">
        <f>'11.2. Нови активи отч.год.'!S16</f>
        <v>0</v>
      </c>
      <c r="T15" s="932">
        <f>SUMIF('9.Инвестиционна програма'!$B$48:$B$55,$B15,'9.Инвестиционна програма'!F$48:F$55)*$E$5</f>
        <v>0</v>
      </c>
      <c r="U15" s="932">
        <f>SUMIF('9.Инвестиционна програма'!$B$48:$B$55,$B15,'9.Инвестиционна програма'!G$48:G$55)*$E$5</f>
        <v>0</v>
      </c>
      <c r="V15" s="932">
        <f>SUMIF('9.Инвестиционна програма'!$B$48:$B$55,$B15,'9.Инвестиционна програма'!H$48:H$55)*$E$5</f>
        <v>0</v>
      </c>
      <c r="W15" s="932">
        <f>SUMIF('9.Инвестиционна програма'!$B$48:$B$55,$B15,'9.Инвестиционна програма'!I$48:I$55)*$E$5</f>
        <v>0</v>
      </c>
      <c r="X15" s="932">
        <f>SUMIF('9.Инвестиционна програма'!$B$48:$B$55,$B15,'9.Инвестиционна програма'!J$48:J$55)*$E$5</f>
        <v>0</v>
      </c>
      <c r="Y15" s="932">
        <f>SUMIF('9.Инвестиционна програма'!$B$48:$B$55,$B15,'9.Инвестиционна програма'!K$48:K$55)*$E$5</f>
        <v>0</v>
      </c>
      <c r="Z15" s="931">
        <f>'11.2. Нови активи отч.год.'!Z16</f>
        <v>0</v>
      </c>
      <c r="AA15" s="935">
        <f>(SUMIF('9.Инвестиционна програма'!$B$57:$B$58,$B15,'9.Инвестиционна програма'!F$57:F$58)+SUMIF('9.Инвестиционна програма'!$B$60:$B$67,$B15,'9.Инвестиционна програма'!F$60:F$67))*$E$5</f>
        <v>0</v>
      </c>
      <c r="AB15" s="932">
        <f>(SUMIF('9.Инвестиционна програма'!$B$57:$B$58,$B15,'9.Инвестиционна програма'!G$57:G$58)+SUMIF('9.Инвестиционна програма'!$B$60:$B$67,$B15,'9.Инвестиционна програма'!G$60:G$67))*$E$5</f>
        <v>126</v>
      </c>
      <c r="AC15" s="932">
        <f>(SUMIF('9.Инвестиционна програма'!$B$57:$B$58,$B15,'9.Инвестиционна програма'!H$57:H$58)+SUMIF('9.Инвестиционна програма'!$B$60:$B$67,$B15,'9.Инвестиционна програма'!H$60:H$67))*$E$5</f>
        <v>310</v>
      </c>
      <c r="AD15" s="932">
        <f>(SUMIF('9.Инвестиционна програма'!$B$57:$B$58,$B15,'9.Инвестиционна програма'!I$57:I$58)+SUMIF('9.Инвестиционна програма'!$B$60:$B$67,$B15,'9.Инвестиционна програма'!I$60:I$67))*$E$5</f>
        <v>50</v>
      </c>
      <c r="AE15" s="932">
        <f>(SUMIF('9.Инвестиционна програма'!$B$57:$B$58,$B15,'9.Инвестиционна програма'!J$57:J$58)+SUMIF('9.Инвестиционна програма'!$B$60:$B$67,$B15,'9.Инвестиционна програма'!J$60:J$67))*$E$5</f>
        <v>70</v>
      </c>
      <c r="AF15" s="938">
        <f>(SUMIF('9.Инвестиционна програма'!$B$57:$B$58,$B15,'9.Инвестиционна програма'!K$57:K$58)+SUMIF('9.Инвестиционна програма'!$B$60:$B$67,$B15,'9.Инвестиционна програма'!K$60:K$67))*$E$5</f>
        <v>100</v>
      </c>
      <c r="AG15" s="306"/>
      <c r="AH15" s="564"/>
    </row>
    <row r="16" spans="1:35">
      <c r="A16" s="277"/>
      <c r="B16" s="1552">
        <v>20202</v>
      </c>
      <c r="C16" s="1553">
        <v>0.03</v>
      </c>
      <c r="D16" s="1556" t="s">
        <v>598</v>
      </c>
      <c r="E16" s="930">
        <f>'11.2. Нови активи отч.год.'!E17</f>
        <v>0</v>
      </c>
      <c r="F16" s="886">
        <f>SUMIF('9.Инвестиционна програма'!$B$11:$B$34,$B16,'9.Инвестиционна програма'!F$11:F$34)*$E$5</f>
        <v>0</v>
      </c>
      <c r="G16" s="887">
        <f>SUMIF('9.Инвестиционна програма'!$B$11:$B$34,$B16,'9.Инвестиционна програма'!G$11:G$34)*$E$5</f>
        <v>6</v>
      </c>
      <c r="H16" s="887">
        <f>SUMIF('9.Инвестиционна програма'!$B$11:$B$34,$B16,'9.Инвестиционна програма'!H$11:H$34)*$E$5</f>
        <v>10</v>
      </c>
      <c r="I16" s="887">
        <f>SUMIF('9.Инвестиционна програма'!$B$11:$B$34,$B16,'9.Инвестиционна програма'!I$11:I$34)*$E$5</f>
        <v>35</v>
      </c>
      <c r="J16" s="887">
        <f>SUMIF('9.Инвестиционна програма'!$B$11:$B$34,$B16,'9.Инвестиционна програма'!J$11:J$34)*$E$5</f>
        <v>30</v>
      </c>
      <c r="K16" s="888">
        <f>SUMIF('9.Инвестиционна програма'!$B$11:$B$34,$B16,'9.Инвестиционна програма'!K$11:K$34)*$E$5</f>
        <v>30</v>
      </c>
      <c r="L16" s="1442">
        <f>'11.2. Нови активи отч.год.'!L17</f>
        <v>0</v>
      </c>
      <c r="M16" s="935">
        <f>SUMIF('9.Инвестиционна програма'!$B$36:$B$46,$B16,'9.Инвестиционна програма'!F$36:F$46)*$E$5</f>
        <v>0</v>
      </c>
      <c r="N16" s="936">
        <f>SUMIF('9.Инвестиционна програма'!$B$36:$B$46,$B16,'9.Инвестиционна програма'!G$36:G$46)*$E$5</f>
        <v>0</v>
      </c>
      <c r="O16" s="936">
        <f>SUMIF('9.Инвестиционна програма'!$B$36:$B$46,$B16,'9.Инвестиционна програма'!H$36:H$46)*$E$5</f>
        <v>0</v>
      </c>
      <c r="P16" s="936">
        <f>SUMIF('9.Инвестиционна програма'!$B$36:$B$46,$B16,'9.Инвестиционна програма'!I$36:I$46)*$E$5</f>
        <v>0</v>
      </c>
      <c r="Q16" s="936">
        <f>SUMIF('9.Инвестиционна програма'!$B$36:$B$46,$B16,'9.Инвестиционна програма'!J$36:J$46)*$E$5</f>
        <v>0</v>
      </c>
      <c r="R16" s="937">
        <f>SUMIF('9.Инвестиционна програма'!$B$36:$B$46,$B16,'9.Инвестиционна програма'!K$36:K$46)*$E$5</f>
        <v>0</v>
      </c>
      <c r="S16" s="931">
        <f>'11.2. Нови активи отч.год.'!S17</f>
        <v>0</v>
      </c>
      <c r="T16" s="932">
        <f>SUMIF('9.Инвестиционна програма'!$B$48:$B$55,$B16,'9.Инвестиционна програма'!F$48:F$55)*$E$5</f>
        <v>0</v>
      </c>
      <c r="U16" s="932">
        <f>SUMIF('9.Инвестиционна програма'!$B$48:$B$55,$B16,'9.Инвестиционна програма'!G$48:G$55)*$E$5</f>
        <v>0</v>
      </c>
      <c r="V16" s="932">
        <f>SUMIF('9.Инвестиционна програма'!$B$48:$B$55,$B16,'9.Инвестиционна програма'!H$48:H$55)*$E$5</f>
        <v>0</v>
      </c>
      <c r="W16" s="932">
        <f>SUMIF('9.Инвестиционна програма'!$B$48:$B$55,$B16,'9.Инвестиционна програма'!I$48:I$55)*$E$5</f>
        <v>0</v>
      </c>
      <c r="X16" s="932">
        <f>SUMIF('9.Инвестиционна програма'!$B$48:$B$55,$B16,'9.Инвестиционна програма'!J$48:J$55)*$E$5</f>
        <v>0</v>
      </c>
      <c r="Y16" s="932">
        <f>SUMIF('9.Инвестиционна програма'!$B$48:$B$55,$B16,'9.Инвестиционна програма'!K$48:K$55)*$E$5</f>
        <v>0</v>
      </c>
      <c r="Z16" s="931">
        <f>'11.2. Нови активи отч.год.'!Z17</f>
        <v>0</v>
      </c>
      <c r="AA16" s="935">
        <f>(SUMIF('9.Инвестиционна програма'!$B$57:$B$58,$B16,'9.Инвестиционна програма'!F$57:F$58)+SUMIF('9.Инвестиционна програма'!$B$60:$B$67,$B16,'9.Инвестиционна програма'!F$60:F$67))*$E$5</f>
        <v>0</v>
      </c>
      <c r="AB16" s="932">
        <f>(SUMIF('9.Инвестиционна програма'!$B$57:$B$58,$B16,'9.Инвестиционна програма'!G$57:G$58)+SUMIF('9.Инвестиционна програма'!$B$60:$B$67,$B16,'9.Инвестиционна програма'!G$60:G$67))*$E$5</f>
        <v>0</v>
      </c>
      <c r="AC16" s="932">
        <f>(SUMIF('9.Инвестиционна програма'!$B$57:$B$58,$B16,'9.Инвестиционна програма'!H$57:H$58)+SUMIF('9.Инвестиционна програма'!$B$60:$B$67,$B16,'9.Инвестиционна програма'!H$60:H$67))*$E$5</f>
        <v>0</v>
      </c>
      <c r="AD16" s="932">
        <f>(SUMIF('9.Инвестиционна програма'!$B$57:$B$58,$B16,'9.Инвестиционна програма'!I$57:I$58)+SUMIF('9.Инвестиционна програма'!$B$60:$B$67,$B16,'9.Инвестиционна програма'!I$60:I$67))*$E$5</f>
        <v>0</v>
      </c>
      <c r="AE16" s="932">
        <f>(SUMIF('9.Инвестиционна програма'!$B$57:$B$58,$B16,'9.Инвестиционна програма'!J$57:J$58)+SUMIF('9.Инвестиционна програма'!$B$60:$B$67,$B16,'9.Инвестиционна програма'!J$60:J$67))*$E$5</f>
        <v>0</v>
      </c>
      <c r="AF16" s="938">
        <f>(SUMIF('9.Инвестиционна програма'!$B$57:$B$58,$B16,'9.Инвестиционна програма'!K$57:K$58)+SUMIF('9.Инвестиционна програма'!$B$60:$B$67,$B16,'9.Инвестиционна програма'!K$60:K$67))*$E$5</f>
        <v>0</v>
      </c>
      <c r="AG16" s="306"/>
      <c r="AH16" s="564"/>
    </row>
    <row r="17" spans="1:34" s="316" customFormat="1" ht="12.75" customHeight="1">
      <c r="A17" s="943">
        <v>3</v>
      </c>
      <c r="B17" s="1728">
        <v>203</v>
      </c>
      <c r="C17" s="1729"/>
      <c r="D17" s="1731" t="s">
        <v>577</v>
      </c>
      <c r="E17" s="945">
        <f t="shared" ref="E17:AF17" si="4">SUM(E18:E28)-E21-E24</f>
        <v>464</v>
      </c>
      <c r="F17" s="890">
        <f t="shared" si="4"/>
        <v>83</v>
      </c>
      <c r="G17" s="891">
        <f t="shared" si="4"/>
        <v>201</v>
      </c>
      <c r="H17" s="891">
        <f t="shared" si="4"/>
        <v>150</v>
      </c>
      <c r="I17" s="891">
        <f t="shared" si="4"/>
        <v>369</v>
      </c>
      <c r="J17" s="891">
        <f t="shared" si="4"/>
        <v>704</v>
      </c>
      <c r="K17" s="892">
        <f t="shared" si="4"/>
        <v>505</v>
      </c>
      <c r="L17" s="1986">
        <f t="shared" si="4"/>
        <v>1</v>
      </c>
      <c r="M17" s="890">
        <f t="shared" si="4"/>
        <v>109</v>
      </c>
      <c r="N17" s="891">
        <f t="shared" si="4"/>
        <v>686</v>
      </c>
      <c r="O17" s="891">
        <f t="shared" si="4"/>
        <v>0</v>
      </c>
      <c r="P17" s="891">
        <f t="shared" si="4"/>
        <v>54</v>
      </c>
      <c r="Q17" s="891">
        <f t="shared" si="4"/>
        <v>241</v>
      </c>
      <c r="R17" s="892">
        <f t="shared" si="4"/>
        <v>130</v>
      </c>
      <c r="S17" s="889">
        <f t="shared" si="4"/>
        <v>0</v>
      </c>
      <c r="T17" s="893">
        <f t="shared" si="4"/>
        <v>54</v>
      </c>
      <c r="U17" s="891">
        <f t="shared" si="4"/>
        <v>14</v>
      </c>
      <c r="V17" s="891">
        <f t="shared" si="4"/>
        <v>40</v>
      </c>
      <c r="W17" s="891">
        <f t="shared" si="4"/>
        <v>45</v>
      </c>
      <c r="X17" s="891">
        <f t="shared" si="4"/>
        <v>40</v>
      </c>
      <c r="Y17" s="892">
        <f t="shared" si="4"/>
        <v>53</v>
      </c>
      <c r="Z17" s="889">
        <f t="shared" si="4"/>
        <v>0</v>
      </c>
      <c r="AA17" s="893">
        <f t="shared" si="4"/>
        <v>0</v>
      </c>
      <c r="AB17" s="891">
        <f t="shared" si="4"/>
        <v>15</v>
      </c>
      <c r="AC17" s="891">
        <f t="shared" si="4"/>
        <v>279</v>
      </c>
      <c r="AD17" s="891">
        <f t="shared" si="4"/>
        <v>243</v>
      </c>
      <c r="AE17" s="891">
        <f t="shared" si="4"/>
        <v>331</v>
      </c>
      <c r="AF17" s="892">
        <f t="shared" si="4"/>
        <v>331</v>
      </c>
      <c r="AH17" s="565"/>
    </row>
    <row r="18" spans="1:34">
      <c r="A18" s="277"/>
      <c r="B18" s="1552">
        <v>20301</v>
      </c>
      <c r="C18" s="1553">
        <v>0.1</v>
      </c>
      <c r="D18" s="1546" t="s">
        <v>599</v>
      </c>
      <c r="E18" s="930">
        <f>'11.2. Нови активи отч.год.'!E19</f>
        <v>32</v>
      </c>
      <c r="F18" s="886">
        <f>SUMIF('9.Инвестиционна програма'!$B$11:$B$34,$B18,'9.Инвестиционна програма'!F$11:F$34)*$E$5</f>
        <v>0</v>
      </c>
      <c r="G18" s="887">
        <f>SUMIF('9.Инвестиционна програма'!$B$11:$B$34,$B18,'9.Инвестиционна програма'!G$11:G$34)*$E$5</f>
        <v>0</v>
      </c>
      <c r="H18" s="887">
        <f>SUMIF('9.Инвестиционна програма'!$B$11:$B$34,$B18,'9.Инвестиционна програма'!H$11:H$34)*$E$5</f>
        <v>0</v>
      </c>
      <c r="I18" s="887">
        <f>SUMIF('9.Инвестиционна програма'!$B$11:$B$34,$B18,'9.Инвестиционна програма'!I$11:I$34)*$E$5</f>
        <v>0</v>
      </c>
      <c r="J18" s="887">
        <f>SUMIF('9.Инвестиционна програма'!$B$11:$B$34,$B18,'9.Инвестиционна програма'!J$11:J$34)*$E$5</f>
        <v>0</v>
      </c>
      <c r="K18" s="888">
        <f>SUMIF('9.Инвестиционна програма'!$B$11:$B$34,$B18,'9.Инвестиционна програма'!K$11:K$34)*$E$5</f>
        <v>0</v>
      </c>
      <c r="L18" s="1442">
        <f>'11.2. Нови активи отч.год.'!L19</f>
        <v>1</v>
      </c>
      <c r="M18" s="935">
        <f>SUMIF('9.Инвестиционна програма'!$B$36:$B$46,$B18,'9.Инвестиционна програма'!F$36:F$46)*$E$5</f>
        <v>0</v>
      </c>
      <c r="N18" s="936">
        <f>SUMIF('9.Инвестиционна програма'!$B$36:$B$46,$B18,'9.Инвестиционна програма'!G$36:G$46)*$E$5</f>
        <v>0</v>
      </c>
      <c r="O18" s="936">
        <f>SUMIF('9.Инвестиционна програма'!$B$36:$B$46,$B18,'9.Инвестиционна програма'!H$36:H$46)*$E$5</f>
        <v>0</v>
      </c>
      <c r="P18" s="936">
        <f>SUMIF('9.Инвестиционна програма'!$B$36:$B$46,$B18,'9.Инвестиционна програма'!I$36:I$46)*$E$5</f>
        <v>0</v>
      </c>
      <c r="Q18" s="936">
        <f>SUMIF('9.Инвестиционна програма'!$B$36:$B$46,$B18,'9.Инвестиционна програма'!J$36:J$46)*$E$5</f>
        <v>0</v>
      </c>
      <c r="R18" s="937">
        <f>SUMIF('9.Инвестиционна програма'!$B$36:$B$46,$B18,'9.Инвестиционна програма'!K$36:K$46)*$E$5</f>
        <v>0</v>
      </c>
      <c r="S18" s="931">
        <f>'11.2. Нови активи отч.год.'!S19</f>
        <v>0</v>
      </c>
      <c r="T18" s="932">
        <f>SUMIF('9.Инвестиционна програма'!$B$48:$B$55,$B18,'9.Инвестиционна програма'!F$48:F$55)*$E$5</f>
        <v>0</v>
      </c>
      <c r="U18" s="932">
        <f>SUMIF('9.Инвестиционна програма'!$B$48:$B$55,$B18,'9.Инвестиционна програма'!G$48:G$55)*$E$5</f>
        <v>0</v>
      </c>
      <c r="V18" s="932">
        <f>SUMIF('9.Инвестиционна програма'!$B$48:$B$55,$B18,'9.Инвестиционна програма'!H$48:H$55)*$E$5</f>
        <v>0</v>
      </c>
      <c r="W18" s="932">
        <f>SUMIF('9.Инвестиционна програма'!$B$48:$B$55,$B18,'9.Инвестиционна програма'!I$48:I$55)*$E$5</f>
        <v>0</v>
      </c>
      <c r="X18" s="932">
        <f>SUMIF('9.Инвестиционна програма'!$B$48:$B$55,$B18,'9.Инвестиционна програма'!J$48:J$55)*$E$5</f>
        <v>0</v>
      </c>
      <c r="Y18" s="932">
        <f>SUMIF('9.Инвестиционна програма'!$B$48:$B$55,$B18,'9.Инвестиционна програма'!K$48:K$55)*$E$5</f>
        <v>0</v>
      </c>
      <c r="Z18" s="931">
        <f>'11.2. Нови активи отч.год.'!Z19</f>
        <v>0</v>
      </c>
      <c r="AA18" s="935">
        <f>(SUMIF('9.Инвестиционна програма'!$B$57:$B$58,$B18,'9.Инвестиционна програма'!F$57:F$58)+SUMIF('9.Инвестиционна програма'!$B$60:$B$67,$B18,'9.Инвестиционна програма'!F$60:F$67))*$E$5</f>
        <v>0</v>
      </c>
      <c r="AB18" s="932">
        <f>(SUMIF('9.Инвестиционна програма'!$B$57:$B$58,$B18,'9.Инвестиционна програма'!G$57:G$58)+SUMIF('9.Инвестиционна програма'!$B$60:$B$67,$B18,'9.Инвестиционна програма'!G$60:G$67))*$E$5</f>
        <v>0</v>
      </c>
      <c r="AC18" s="932">
        <f>(SUMIF('9.Инвестиционна програма'!$B$57:$B$58,$B18,'9.Инвестиционна програма'!H$57:H$58)+SUMIF('9.Инвестиционна програма'!$B$60:$B$67,$B18,'9.Инвестиционна програма'!H$60:H$67))*$E$5</f>
        <v>0</v>
      </c>
      <c r="AD18" s="932">
        <f>(SUMIF('9.Инвестиционна програма'!$B$57:$B$58,$B18,'9.Инвестиционна програма'!I$57:I$58)+SUMIF('9.Инвестиционна програма'!$B$60:$B$67,$B18,'9.Инвестиционна програма'!I$60:I$67))*$E$5</f>
        <v>0</v>
      </c>
      <c r="AE18" s="932">
        <f>(SUMIF('9.Инвестиционна програма'!$B$57:$B$58,$B18,'9.Инвестиционна програма'!J$57:J$58)+SUMIF('9.Инвестиционна програма'!$B$60:$B$67,$B18,'9.Инвестиционна програма'!J$60:J$67))*$E$5</f>
        <v>0</v>
      </c>
      <c r="AF18" s="938">
        <f>(SUMIF('9.Инвестиционна програма'!$B$57:$B$58,$B18,'9.Инвестиционна програма'!K$57:K$58)+SUMIF('9.Инвестиционна програма'!$B$60:$B$67,$B18,'9.Инвестиционна програма'!K$60:K$67))*$E$5</f>
        <v>0</v>
      </c>
      <c r="AG18" s="306"/>
      <c r="AH18" s="564"/>
    </row>
    <row r="19" spans="1:34">
      <c r="A19" s="277"/>
      <c r="B19" s="1552">
        <v>20302</v>
      </c>
      <c r="C19" s="1553">
        <v>0.1</v>
      </c>
      <c r="D19" s="1546" t="s">
        <v>600</v>
      </c>
      <c r="E19" s="930">
        <f>'11.2. Нови активи отч.год.'!E20</f>
        <v>0</v>
      </c>
      <c r="F19" s="886">
        <f>SUMIF('9.Инвестиционна програма'!$B$11:$B$34,$B19,'9.Инвестиционна програма'!F$11:F$34)*$E$5</f>
        <v>0</v>
      </c>
      <c r="G19" s="887">
        <f>SUMIF('9.Инвестиционна програма'!$B$11:$B$34,$B19,'9.Инвестиционна програма'!G$11:G$34)*$E$5</f>
        <v>0</v>
      </c>
      <c r="H19" s="887">
        <f>SUMIF('9.Инвестиционна програма'!$B$11:$B$34,$B19,'9.Инвестиционна програма'!H$11:H$34)*$E$5</f>
        <v>20</v>
      </c>
      <c r="I19" s="887">
        <f>SUMIF('9.Инвестиционна програма'!$B$11:$B$34,$B19,'9.Инвестиционна програма'!I$11:I$34)*$E$5</f>
        <v>11</v>
      </c>
      <c r="J19" s="887">
        <f>SUMIF('9.Инвестиционна програма'!$B$11:$B$34,$B19,'9.Инвестиционна програма'!J$11:J$34)*$E$5</f>
        <v>17</v>
      </c>
      <c r="K19" s="888">
        <f>SUMIF('9.Инвестиционна програма'!$B$11:$B$34,$B19,'9.Инвестиционна програма'!K$11:K$34)*$E$5</f>
        <v>35</v>
      </c>
      <c r="L19" s="1442">
        <f>'11.2. Нови активи отч.год.'!L20</f>
        <v>0</v>
      </c>
      <c r="M19" s="935">
        <f>SUMIF('9.Инвестиционна програма'!$B$36:$B$46,$B19,'9.Инвестиционна програма'!F$36:F$46)*$E$5</f>
        <v>0</v>
      </c>
      <c r="N19" s="936">
        <f>SUMIF('9.Инвестиционна програма'!$B$36:$B$46,$B19,'9.Инвестиционна програма'!G$36:G$46)*$E$5</f>
        <v>0</v>
      </c>
      <c r="O19" s="936">
        <f>SUMIF('9.Инвестиционна програма'!$B$36:$B$46,$B19,'9.Инвестиционна програма'!H$36:H$46)*$E$5</f>
        <v>0</v>
      </c>
      <c r="P19" s="936">
        <f>SUMIF('9.Инвестиционна програма'!$B$36:$B$46,$B19,'9.Инвестиционна програма'!I$36:I$46)*$E$5</f>
        <v>0</v>
      </c>
      <c r="Q19" s="936">
        <f>SUMIF('9.Инвестиционна програма'!$B$36:$B$46,$B19,'9.Инвестиционна програма'!J$36:J$46)*$E$5</f>
        <v>0</v>
      </c>
      <c r="R19" s="937">
        <f>SUMIF('9.Инвестиционна програма'!$B$36:$B$46,$B19,'9.Инвестиционна програма'!K$36:K$46)*$E$5</f>
        <v>0</v>
      </c>
      <c r="S19" s="931">
        <f>'11.2. Нови активи отч.год.'!S20</f>
        <v>0</v>
      </c>
      <c r="T19" s="932">
        <f>SUMIF('9.Инвестиционна програма'!$B$48:$B$55,$B19,'9.Инвестиционна програма'!F$48:F$55)*$E$5</f>
        <v>0</v>
      </c>
      <c r="U19" s="932">
        <f>SUMIF('9.Инвестиционна програма'!$B$48:$B$55,$B19,'9.Инвестиционна програма'!G$48:G$55)*$E$5</f>
        <v>0</v>
      </c>
      <c r="V19" s="932">
        <f>SUMIF('9.Инвестиционна програма'!$B$48:$B$55,$B19,'9.Инвестиционна програма'!H$48:H$55)*$E$5</f>
        <v>0</v>
      </c>
      <c r="W19" s="932">
        <f>SUMIF('9.Инвестиционна програма'!$B$48:$B$55,$B19,'9.Инвестиционна програма'!I$48:I$55)*$E$5</f>
        <v>10</v>
      </c>
      <c r="X19" s="932">
        <f>SUMIF('9.Инвестиционна програма'!$B$48:$B$55,$B19,'9.Инвестиционна програма'!J$48:J$55)*$E$5</f>
        <v>5</v>
      </c>
      <c r="Y19" s="932">
        <f>SUMIF('9.Инвестиционна програма'!$B$48:$B$55,$B19,'9.Инвестиционна програма'!K$48:K$55)*$E$5</f>
        <v>18</v>
      </c>
      <c r="Z19" s="931">
        <f>'11.2. Нови активи отч.год.'!Z20</f>
        <v>0</v>
      </c>
      <c r="AA19" s="935">
        <f>(SUMIF('9.Инвестиционна програма'!$B$57:$B$58,$B19,'9.Инвестиционна програма'!F$57:F$58)+SUMIF('9.Инвестиционна програма'!$B$60:$B$67,$B19,'9.Инвестиционна програма'!F$60:F$67))*$E$5</f>
        <v>0</v>
      </c>
      <c r="AB19" s="932">
        <f>(SUMIF('9.Инвестиционна програма'!$B$57:$B$58,$B19,'9.Инвестиционна програма'!G$57:G$58)+SUMIF('9.Инвестиционна програма'!$B$60:$B$67,$B19,'9.Инвестиционна програма'!G$60:G$67))*$E$5</f>
        <v>0</v>
      </c>
      <c r="AC19" s="932">
        <f>(SUMIF('9.Инвестиционна програма'!$B$57:$B$58,$B19,'9.Инвестиционна програма'!H$57:H$58)+SUMIF('9.Инвестиционна програма'!$B$60:$B$67,$B19,'9.Инвестиционна програма'!H$60:H$67))*$E$5</f>
        <v>0</v>
      </c>
      <c r="AD19" s="932">
        <f>(SUMIF('9.Инвестиционна програма'!$B$57:$B$58,$B19,'9.Инвестиционна програма'!I$57:I$58)+SUMIF('9.Инвестиционна програма'!$B$60:$B$67,$B19,'9.Инвестиционна програма'!I$60:I$67))*$E$5</f>
        <v>0</v>
      </c>
      <c r="AE19" s="932">
        <f>(SUMIF('9.Инвестиционна програма'!$B$57:$B$58,$B19,'9.Инвестиционна програма'!J$57:J$58)+SUMIF('9.Инвестиционна програма'!$B$60:$B$67,$B19,'9.Инвестиционна програма'!J$60:J$67))*$E$5</f>
        <v>0</v>
      </c>
      <c r="AF19" s="938">
        <f>(SUMIF('9.Инвестиционна програма'!$B$57:$B$58,$B19,'9.Инвестиционна програма'!K$57:K$58)+SUMIF('9.Инвестиционна програма'!$B$60:$B$67,$B19,'9.Инвестиционна програма'!K$60:K$67))*$E$5</f>
        <v>0</v>
      </c>
      <c r="AG19" s="306"/>
      <c r="AH19" s="564"/>
    </row>
    <row r="20" spans="1:34">
      <c r="A20" s="277"/>
      <c r="B20" s="1552">
        <v>20303</v>
      </c>
      <c r="C20" s="1553">
        <v>0.1</v>
      </c>
      <c r="D20" s="1546" t="s">
        <v>578</v>
      </c>
      <c r="E20" s="930">
        <f>'11.2. Нови активи отч.год.'!E21</f>
        <v>378</v>
      </c>
      <c r="F20" s="886">
        <f>SUMIF('9.Инвестиционна програма'!$B$11:$B$34,$B20,'9.Инвестиционна програма'!F$11:F$34)*$E$5</f>
        <v>0</v>
      </c>
      <c r="G20" s="887">
        <f>SUMIF('9.Инвестиционна програма'!$B$11:$B$34,$B20,'9.Инвестиционна програма'!G$11:G$34)*$E$5</f>
        <v>0</v>
      </c>
      <c r="H20" s="887">
        <f>SUMIF('9.Инвестиционна програма'!$B$11:$B$34,$B20,'9.Инвестиционна програма'!H$11:H$34)*$E$5</f>
        <v>0</v>
      </c>
      <c r="I20" s="887">
        <f>SUMIF('9.Инвестиционна програма'!$B$11:$B$34,$B20,'9.Инвестиционна програма'!I$11:I$34)*$E$5</f>
        <v>45</v>
      </c>
      <c r="J20" s="887">
        <f>SUMIF('9.Инвестиционна програма'!$B$11:$B$34,$B20,'9.Инвестиционна програма'!J$11:J$34)*$E$5</f>
        <v>267</v>
      </c>
      <c r="K20" s="888">
        <f>SUMIF('9.Инвестиционна програма'!$B$11:$B$34,$B20,'9.Инвестиционна програма'!K$11:K$34)*$E$5</f>
        <v>45</v>
      </c>
      <c r="L20" s="1442">
        <f>'11.2. Нови активи отч.год.'!L21</f>
        <v>0</v>
      </c>
      <c r="M20" s="935">
        <f>SUMIF('9.Инвестиционна програма'!$B$36:$B$46,$B20,'9.Инвестиционна програма'!F$36:F$46)*$E$5</f>
        <v>11</v>
      </c>
      <c r="N20" s="936">
        <f>SUMIF('9.Инвестиционна програма'!$B$36:$B$46,$B20,'9.Инвестиционна програма'!G$36:G$46)*$E$5</f>
        <v>686</v>
      </c>
      <c r="O20" s="936">
        <f>SUMIF('9.Инвестиционна програма'!$B$36:$B$46,$B20,'9.Инвестиционна програма'!H$36:H$46)*$E$5</f>
        <v>0</v>
      </c>
      <c r="P20" s="936">
        <f>SUMIF('9.Инвестиционна програма'!$B$36:$B$46,$B20,'9.Инвестиционна програма'!I$36:I$46)*$E$5</f>
        <v>0</v>
      </c>
      <c r="Q20" s="936">
        <f>SUMIF('9.Инвестиционна програма'!$B$36:$B$46,$B20,'9.Инвестиционна програма'!J$36:J$46)*$E$5</f>
        <v>222</v>
      </c>
      <c r="R20" s="937">
        <f>SUMIF('9.Инвестиционна програма'!$B$36:$B$46,$B20,'9.Инвестиционна програма'!K$36:K$46)*$E$5</f>
        <v>111</v>
      </c>
      <c r="S20" s="931">
        <f>'11.2. Нови активи отч.год.'!S21</f>
        <v>0</v>
      </c>
      <c r="T20" s="932">
        <f>SUMIF('9.Инвестиционна програма'!$B$48:$B$55,$B20,'9.Инвестиционна програма'!F$48:F$55)*$E$5</f>
        <v>8</v>
      </c>
      <c r="U20" s="932">
        <f>SUMIF('9.Инвестиционна програма'!$B$48:$B$55,$B20,'9.Инвестиционна програма'!G$48:G$55)*$E$5</f>
        <v>0</v>
      </c>
      <c r="V20" s="932">
        <f>SUMIF('9.Инвестиционна програма'!$B$48:$B$55,$B20,'9.Инвестиционна програма'!H$48:H$55)*$E$5</f>
        <v>0</v>
      </c>
      <c r="W20" s="932">
        <f>SUMIF('9.Инвестиционна програма'!$B$48:$B$55,$B20,'9.Инвестиционна програма'!I$48:I$55)*$E$5</f>
        <v>0</v>
      </c>
      <c r="X20" s="932">
        <f>SUMIF('9.Инвестиционна програма'!$B$48:$B$55,$B20,'9.Инвестиционна програма'!J$48:J$55)*$E$5</f>
        <v>0</v>
      </c>
      <c r="Y20" s="932">
        <f>SUMIF('9.Инвестиционна програма'!$B$48:$B$55,$B20,'9.Инвестиционна програма'!K$48:K$55)*$E$5</f>
        <v>0</v>
      </c>
      <c r="Z20" s="931">
        <f>'11.2. Нови активи отч.год.'!Z21</f>
        <v>0</v>
      </c>
      <c r="AA20" s="935">
        <f>(SUMIF('9.Инвестиционна програма'!$B$57:$B$58,$B20,'9.Инвестиционна програма'!F$57:F$58)+SUMIF('9.Инвестиционна програма'!$B$60:$B$67,$B20,'9.Инвестиционна програма'!F$60:F$67))*$E$5</f>
        <v>0</v>
      </c>
      <c r="AB20" s="932">
        <f>(SUMIF('9.Инвестиционна програма'!$B$57:$B$58,$B20,'9.Инвестиционна програма'!G$57:G$58)+SUMIF('9.Инвестиционна програма'!$B$60:$B$67,$B20,'9.Инвестиционна програма'!G$60:G$67))*$E$5</f>
        <v>0</v>
      </c>
      <c r="AC20" s="932">
        <f>(SUMIF('9.Инвестиционна програма'!$B$57:$B$58,$B20,'9.Инвестиционна програма'!H$57:H$58)+SUMIF('9.Инвестиционна програма'!$B$60:$B$67,$B20,'9.Инвестиционна програма'!H$60:H$67))*$E$5</f>
        <v>0</v>
      </c>
      <c r="AD20" s="932">
        <f>(SUMIF('9.Инвестиционна програма'!$B$57:$B$58,$B20,'9.Инвестиционна програма'!I$57:I$58)+SUMIF('9.Инвестиционна програма'!$B$60:$B$67,$B20,'9.Инвестиционна програма'!I$60:I$67))*$E$5</f>
        <v>0</v>
      </c>
      <c r="AE20" s="932">
        <f>(SUMIF('9.Инвестиционна програма'!$B$57:$B$58,$B20,'9.Инвестиционна програма'!J$57:J$58)+SUMIF('9.Инвестиционна програма'!$B$60:$B$67,$B20,'9.Инвестиционна програма'!J$60:J$67))*$E$5</f>
        <v>0</v>
      </c>
      <c r="AF20" s="938">
        <f>(SUMIF('9.Инвестиционна програма'!$B$57:$B$58,$B20,'9.Инвестиционна програма'!K$57:K$58)+SUMIF('9.Инвестиционна програма'!$B$60:$B$67,$B20,'9.Инвестиционна програма'!K$60:K$67))*$E$5</f>
        <v>0</v>
      </c>
      <c r="AG20" s="306"/>
      <c r="AH20" s="564"/>
    </row>
    <row r="21" spans="1:34">
      <c r="A21" s="277"/>
      <c r="B21" s="1552">
        <v>20304</v>
      </c>
      <c r="C21" s="1553">
        <v>0.1</v>
      </c>
      <c r="D21" s="1546" t="s">
        <v>579</v>
      </c>
      <c r="E21" s="946">
        <f t="shared" ref="E21:AF21" si="5">SUM(E22:E23)</f>
        <v>0</v>
      </c>
      <c r="F21" s="947">
        <f t="shared" si="5"/>
        <v>0</v>
      </c>
      <c r="G21" s="948">
        <f t="shared" si="5"/>
        <v>0</v>
      </c>
      <c r="H21" s="948">
        <f t="shared" si="5"/>
        <v>0</v>
      </c>
      <c r="I21" s="948">
        <f t="shared" si="5"/>
        <v>0</v>
      </c>
      <c r="J21" s="948">
        <f t="shared" si="5"/>
        <v>0</v>
      </c>
      <c r="K21" s="949">
        <f t="shared" si="5"/>
        <v>0</v>
      </c>
      <c r="L21" s="1987">
        <f t="shared" si="5"/>
        <v>0</v>
      </c>
      <c r="M21" s="947">
        <f t="shared" si="5"/>
        <v>0</v>
      </c>
      <c r="N21" s="948">
        <f t="shared" si="5"/>
        <v>0</v>
      </c>
      <c r="O21" s="948">
        <f t="shared" si="5"/>
        <v>0</v>
      </c>
      <c r="P21" s="948">
        <f t="shared" si="5"/>
        <v>0</v>
      </c>
      <c r="Q21" s="948">
        <f t="shared" si="5"/>
        <v>0</v>
      </c>
      <c r="R21" s="949">
        <f t="shared" si="5"/>
        <v>0</v>
      </c>
      <c r="S21" s="950">
        <f t="shared" si="5"/>
        <v>0</v>
      </c>
      <c r="T21" s="951">
        <f t="shared" si="5"/>
        <v>0</v>
      </c>
      <c r="U21" s="948">
        <f t="shared" si="5"/>
        <v>0</v>
      </c>
      <c r="V21" s="948">
        <f t="shared" si="5"/>
        <v>0</v>
      </c>
      <c r="W21" s="948">
        <f t="shared" si="5"/>
        <v>0</v>
      </c>
      <c r="X21" s="948">
        <f t="shared" si="5"/>
        <v>0</v>
      </c>
      <c r="Y21" s="949">
        <f t="shared" si="5"/>
        <v>0</v>
      </c>
      <c r="Z21" s="950">
        <f t="shared" si="5"/>
        <v>0</v>
      </c>
      <c r="AA21" s="951">
        <f t="shared" si="5"/>
        <v>0</v>
      </c>
      <c r="AB21" s="948">
        <f t="shared" si="5"/>
        <v>0</v>
      </c>
      <c r="AC21" s="948">
        <f t="shared" si="5"/>
        <v>0</v>
      </c>
      <c r="AD21" s="948">
        <f t="shared" si="5"/>
        <v>0</v>
      </c>
      <c r="AE21" s="948">
        <f t="shared" si="5"/>
        <v>0</v>
      </c>
      <c r="AF21" s="949">
        <f t="shared" si="5"/>
        <v>0</v>
      </c>
      <c r="AH21" s="564"/>
    </row>
    <row r="22" spans="1:34">
      <c r="A22" s="277"/>
      <c r="B22" s="1732">
        <v>2030401</v>
      </c>
      <c r="C22" s="1733">
        <v>0.1</v>
      </c>
      <c r="D22" s="1734" t="s">
        <v>1375</v>
      </c>
      <c r="E22" s="930">
        <f>'11.2. Нови активи отч.год.'!E23</f>
        <v>0</v>
      </c>
      <c r="F22" s="886">
        <f>SUMIF('9.Инвестиционна програма'!$B$11:$B$34,$B22,'9.Инвестиционна програма'!F$11:F$34)*$E$5</f>
        <v>0</v>
      </c>
      <c r="G22" s="887">
        <f>SUMIF('9.Инвестиционна програма'!$B$11:$B$34,$B22,'9.Инвестиционна програма'!G$11:G$34)*$E$5</f>
        <v>0</v>
      </c>
      <c r="H22" s="887">
        <f>SUMIF('9.Инвестиционна програма'!$B$11:$B$34,$B22,'9.Инвестиционна програма'!H$11:H$34)*$E$5</f>
        <v>0</v>
      </c>
      <c r="I22" s="887">
        <f>SUMIF('9.Инвестиционна програма'!$B$11:$B$34,$B22,'9.Инвестиционна програма'!I$11:I$34)*$E$5</f>
        <v>0</v>
      </c>
      <c r="J22" s="887">
        <f>SUMIF('9.Инвестиционна програма'!$B$11:$B$34,$B22,'9.Инвестиционна програма'!J$11:J$34)*$E$5</f>
        <v>0</v>
      </c>
      <c r="K22" s="888">
        <f>SUMIF('9.Инвестиционна програма'!$B$11:$B$34,$B22,'9.Инвестиционна програма'!K$11:K$34)*$E$5</f>
        <v>0</v>
      </c>
      <c r="L22" s="1442">
        <f>'11.2. Нови активи отч.год.'!L23</f>
        <v>0</v>
      </c>
      <c r="M22" s="935">
        <f>SUMIF('9.Инвестиционна програма'!$B$36:$B$46,$B22,'9.Инвестиционна програма'!F$36:F$46)*$E$5</f>
        <v>0</v>
      </c>
      <c r="N22" s="936">
        <f>SUMIF('9.Инвестиционна програма'!$B$36:$B$46,$B22,'9.Инвестиционна програма'!G$36:G$46)*$E$5</f>
        <v>0</v>
      </c>
      <c r="O22" s="936">
        <f>SUMIF('9.Инвестиционна програма'!$B$36:$B$46,$B22,'9.Инвестиционна програма'!H$36:H$46)*$E$5</f>
        <v>0</v>
      </c>
      <c r="P22" s="936">
        <f>SUMIF('9.Инвестиционна програма'!$B$36:$B$46,$B22,'9.Инвестиционна програма'!I$36:I$46)*$E$5</f>
        <v>0</v>
      </c>
      <c r="Q22" s="936">
        <f>SUMIF('9.Инвестиционна програма'!$B$36:$B$46,$B22,'9.Инвестиционна програма'!J$36:J$46)*$E$5</f>
        <v>0</v>
      </c>
      <c r="R22" s="937">
        <f>SUMIF('9.Инвестиционна програма'!$B$36:$B$46,$B22,'9.Инвестиционна програма'!K$36:K$46)*$E$5</f>
        <v>0</v>
      </c>
      <c r="S22" s="931">
        <f>'11.2. Нови активи отч.год.'!S23</f>
        <v>0</v>
      </c>
      <c r="T22" s="932">
        <f>SUMIF('9.Инвестиционна програма'!$B$48:$B$55,$B22,'9.Инвестиционна програма'!F$48:F$55)*$E$5</f>
        <v>0</v>
      </c>
      <c r="U22" s="932">
        <f>SUMIF('9.Инвестиционна програма'!$B$48:$B$55,$B22,'9.Инвестиционна програма'!G$48:G$55)*$E$5</f>
        <v>0</v>
      </c>
      <c r="V22" s="932">
        <f>SUMIF('9.Инвестиционна програма'!$B$48:$B$55,$B22,'9.Инвестиционна програма'!H$48:H$55)*$E$5</f>
        <v>0</v>
      </c>
      <c r="W22" s="932">
        <f>SUMIF('9.Инвестиционна програма'!$B$48:$B$55,$B22,'9.Инвестиционна програма'!I$48:I$55)*$E$5</f>
        <v>0</v>
      </c>
      <c r="X22" s="932">
        <f>SUMIF('9.Инвестиционна програма'!$B$48:$B$55,$B22,'9.Инвестиционна програма'!J$48:J$55)*$E$5</f>
        <v>0</v>
      </c>
      <c r="Y22" s="932">
        <f>SUMIF('9.Инвестиционна програма'!$B$48:$B$55,$B22,'9.Инвестиционна програма'!K$48:K$55)*$E$5</f>
        <v>0</v>
      </c>
      <c r="Z22" s="931">
        <f>'11.2. Нови активи отч.год.'!Z23</f>
        <v>0</v>
      </c>
      <c r="AA22" s="935">
        <f>(SUMIF('9.Инвестиционна програма'!$B$57:$B$58,$B22,'9.Инвестиционна програма'!F$57:F$58)+SUMIF('9.Инвестиционна програма'!$B$60:$B$67,$B22,'9.Инвестиционна програма'!F$60:F$67))*$E$5</f>
        <v>0</v>
      </c>
      <c r="AB22" s="932">
        <f>(SUMIF('9.Инвестиционна програма'!$B$57:$B$58,$B22,'9.Инвестиционна програма'!G$57:G$58)+SUMIF('9.Инвестиционна програма'!$B$60:$B$67,$B22,'9.Инвестиционна програма'!G$60:G$67))*$E$5</f>
        <v>0</v>
      </c>
      <c r="AC22" s="932">
        <f>(SUMIF('9.Инвестиционна програма'!$B$57:$B$58,$B22,'9.Инвестиционна програма'!H$57:H$58)+SUMIF('9.Инвестиционна програма'!$B$60:$B$67,$B22,'9.Инвестиционна програма'!H$60:H$67))*$E$5</f>
        <v>0</v>
      </c>
      <c r="AD22" s="932">
        <f>(SUMIF('9.Инвестиционна програма'!$B$57:$B$58,$B22,'9.Инвестиционна програма'!I$57:I$58)+SUMIF('9.Инвестиционна програма'!$B$60:$B$67,$B22,'9.Инвестиционна програма'!I$60:I$67))*$E$5</f>
        <v>0</v>
      </c>
      <c r="AE22" s="932">
        <f>(SUMIF('9.Инвестиционна програма'!$B$57:$B$58,$B22,'9.Инвестиционна програма'!J$57:J$58)+SUMIF('9.Инвестиционна програма'!$B$60:$B$67,$B22,'9.Инвестиционна програма'!J$60:J$67))*$E$5</f>
        <v>0</v>
      </c>
      <c r="AF22" s="938">
        <f>(SUMIF('9.Инвестиционна програма'!$B$57:$B$58,$B22,'9.Инвестиционна програма'!K$57:K$58)+SUMIF('9.Инвестиционна програма'!$B$60:$B$67,$B22,'9.Инвестиционна програма'!K$60:K$67))*$E$5</f>
        <v>0</v>
      </c>
      <c r="AG22" s="306"/>
      <c r="AH22" s="564"/>
    </row>
    <row r="23" spans="1:34">
      <c r="A23" s="277"/>
      <c r="B23" s="1732">
        <v>2030402</v>
      </c>
      <c r="C23" s="1733">
        <v>0.1</v>
      </c>
      <c r="D23" s="1734" t="s">
        <v>601</v>
      </c>
      <c r="E23" s="930">
        <f>'11.2. Нови активи отч.год.'!E24</f>
        <v>0</v>
      </c>
      <c r="F23" s="886">
        <f>SUMIF('9.Инвестиционна програма'!$B$11:$B$34,$B23,'9.Инвестиционна програма'!F$11:F$34)*$E$5</f>
        <v>0</v>
      </c>
      <c r="G23" s="887">
        <f>SUMIF('9.Инвестиционна програма'!$B$11:$B$34,$B23,'9.Инвестиционна програма'!G$11:G$34)*$E$5</f>
        <v>0</v>
      </c>
      <c r="H23" s="887">
        <f>SUMIF('9.Инвестиционна програма'!$B$11:$B$34,$B23,'9.Инвестиционна програма'!H$11:H$34)*$E$5</f>
        <v>0</v>
      </c>
      <c r="I23" s="887">
        <f>SUMIF('9.Инвестиционна програма'!$B$11:$B$34,$B23,'9.Инвестиционна програма'!I$11:I$34)*$E$5</f>
        <v>0</v>
      </c>
      <c r="J23" s="887">
        <f>SUMIF('9.Инвестиционна програма'!$B$11:$B$34,$B23,'9.Инвестиционна програма'!J$11:J$34)*$E$5</f>
        <v>0</v>
      </c>
      <c r="K23" s="888">
        <f>SUMIF('9.Инвестиционна програма'!$B$11:$B$34,$B23,'9.Инвестиционна програма'!K$11:K$34)*$E$5</f>
        <v>0</v>
      </c>
      <c r="L23" s="1442">
        <f>'11.2. Нови активи отч.год.'!L24</f>
        <v>0</v>
      </c>
      <c r="M23" s="935">
        <f>SUMIF('9.Инвестиционна програма'!$B$36:$B$46,$B23,'9.Инвестиционна програма'!F$36:F$46)*$E$5</f>
        <v>0</v>
      </c>
      <c r="N23" s="936">
        <f>SUMIF('9.Инвестиционна програма'!$B$36:$B$46,$B23,'9.Инвестиционна програма'!G$36:G$46)*$E$5</f>
        <v>0</v>
      </c>
      <c r="O23" s="936">
        <f>SUMIF('9.Инвестиционна програма'!$B$36:$B$46,$B23,'9.Инвестиционна програма'!H$36:H$46)*$E$5</f>
        <v>0</v>
      </c>
      <c r="P23" s="936">
        <f>SUMIF('9.Инвестиционна програма'!$B$36:$B$46,$B23,'9.Инвестиционна програма'!I$36:I$46)*$E$5</f>
        <v>0</v>
      </c>
      <c r="Q23" s="936">
        <f>SUMIF('9.Инвестиционна програма'!$B$36:$B$46,$B23,'9.Инвестиционна програма'!J$36:J$46)*$E$5</f>
        <v>0</v>
      </c>
      <c r="R23" s="937">
        <f>SUMIF('9.Инвестиционна програма'!$B$36:$B$46,$B23,'9.Инвестиционна програма'!K$36:K$46)*$E$5</f>
        <v>0</v>
      </c>
      <c r="S23" s="931">
        <f>'11.2. Нови активи отч.год.'!S24</f>
        <v>0</v>
      </c>
      <c r="T23" s="932">
        <f>SUMIF('9.Инвестиционна програма'!$B$48:$B$55,$B23,'9.Инвестиционна програма'!F$48:F$55)*$E$5</f>
        <v>0</v>
      </c>
      <c r="U23" s="932">
        <f>SUMIF('9.Инвестиционна програма'!$B$48:$B$55,$B23,'9.Инвестиционна програма'!G$48:G$55)*$E$5</f>
        <v>0</v>
      </c>
      <c r="V23" s="932">
        <f>SUMIF('9.Инвестиционна програма'!$B$48:$B$55,$B23,'9.Инвестиционна програма'!H$48:H$55)*$E$5</f>
        <v>0</v>
      </c>
      <c r="W23" s="932">
        <f>SUMIF('9.Инвестиционна програма'!$B$48:$B$55,$B23,'9.Инвестиционна програма'!I$48:I$55)*$E$5</f>
        <v>0</v>
      </c>
      <c r="X23" s="932">
        <f>SUMIF('9.Инвестиционна програма'!$B$48:$B$55,$B23,'9.Инвестиционна програма'!J$48:J$55)*$E$5</f>
        <v>0</v>
      </c>
      <c r="Y23" s="932">
        <f>SUMIF('9.Инвестиционна програма'!$B$48:$B$55,$B23,'9.Инвестиционна програма'!K$48:K$55)*$E$5</f>
        <v>0</v>
      </c>
      <c r="Z23" s="931">
        <f>'11.2. Нови активи отч.год.'!Z24</f>
        <v>0</v>
      </c>
      <c r="AA23" s="935">
        <f>(SUMIF('9.Инвестиционна програма'!$B$57:$B$58,$B23,'9.Инвестиционна програма'!F$57:F$58)+SUMIF('9.Инвестиционна програма'!$B$60:$B$67,$B23,'9.Инвестиционна програма'!F$60:F$67))*$E$5</f>
        <v>0</v>
      </c>
      <c r="AB23" s="932">
        <f>(SUMIF('9.Инвестиционна програма'!$B$57:$B$58,$B23,'9.Инвестиционна програма'!G$57:G$58)+SUMIF('9.Инвестиционна програма'!$B$60:$B$67,$B23,'9.Инвестиционна програма'!G$60:G$67))*$E$5</f>
        <v>0</v>
      </c>
      <c r="AC23" s="932">
        <f>(SUMIF('9.Инвестиционна програма'!$B$57:$B$58,$B23,'9.Инвестиционна програма'!H$57:H$58)+SUMIF('9.Инвестиционна програма'!$B$60:$B$67,$B23,'9.Инвестиционна програма'!H$60:H$67))*$E$5</f>
        <v>0</v>
      </c>
      <c r="AD23" s="932">
        <f>(SUMIF('9.Инвестиционна програма'!$B$57:$B$58,$B23,'9.Инвестиционна програма'!I$57:I$58)+SUMIF('9.Инвестиционна програма'!$B$60:$B$67,$B23,'9.Инвестиционна програма'!I$60:I$67))*$E$5</f>
        <v>0</v>
      </c>
      <c r="AE23" s="932">
        <f>(SUMIF('9.Инвестиционна програма'!$B$57:$B$58,$B23,'9.Инвестиционна програма'!J$57:J$58)+SUMIF('9.Инвестиционна програма'!$B$60:$B$67,$B23,'9.Инвестиционна програма'!J$60:J$67))*$E$5</f>
        <v>0</v>
      </c>
      <c r="AF23" s="938">
        <f>(SUMIF('9.Инвестиционна програма'!$B$57:$B$58,$B23,'9.Инвестиционна програма'!K$57:K$58)+SUMIF('9.Инвестиционна програма'!$B$60:$B$67,$B23,'9.Инвестиционна програма'!K$60:K$67))*$E$5</f>
        <v>0</v>
      </c>
      <c r="AG23" s="306"/>
      <c r="AH23" s="564"/>
    </row>
    <row r="24" spans="1:34">
      <c r="A24" s="277"/>
      <c r="B24" s="1552">
        <v>20305</v>
      </c>
      <c r="C24" s="1557"/>
      <c r="D24" s="1546" t="s">
        <v>602</v>
      </c>
      <c r="E24" s="946">
        <f>SUM(E25:E27)</f>
        <v>0</v>
      </c>
      <c r="F24" s="947">
        <f t="shared" ref="F24:AF24" si="6">SUM(F25:F27)</f>
        <v>20</v>
      </c>
      <c r="G24" s="948">
        <f t="shared" si="6"/>
        <v>201</v>
      </c>
      <c r="H24" s="948">
        <f t="shared" si="6"/>
        <v>130</v>
      </c>
      <c r="I24" s="948">
        <f t="shared" si="6"/>
        <v>273</v>
      </c>
      <c r="J24" s="948">
        <f t="shared" si="6"/>
        <v>385</v>
      </c>
      <c r="K24" s="949">
        <f t="shared" si="6"/>
        <v>390</v>
      </c>
      <c r="L24" s="1987">
        <f t="shared" si="6"/>
        <v>0</v>
      </c>
      <c r="M24" s="947">
        <f t="shared" si="6"/>
        <v>41</v>
      </c>
      <c r="N24" s="948">
        <f t="shared" si="6"/>
        <v>0</v>
      </c>
      <c r="O24" s="948">
        <f t="shared" si="6"/>
        <v>0</v>
      </c>
      <c r="P24" s="948">
        <f t="shared" si="6"/>
        <v>50</v>
      </c>
      <c r="Q24" s="948">
        <f t="shared" si="6"/>
        <v>15</v>
      </c>
      <c r="R24" s="949">
        <f t="shared" si="6"/>
        <v>15</v>
      </c>
      <c r="S24" s="950">
        <f t="shared" si="6"/>
        <v>0</v>
      </c>
      <c r="T24" s="951">
        <f t="shared" si="6"/>
        <v>30</v>
      </c>
      <c r="U24" s="948">
        <f t="shared" si="6"/>
        <v>0</v>
      </c>
      <c r="V24" s="948">
        <f t="shared" si="6"/>
        <v>0</v>
      </c>
      <c r="W24" s="948">
        <f t="shared" si="6"/>
        <v>0</v>
      </c>
      <c r="X24" s="948">
        <f t="shared" si="6"/>
        <v>0</v>
      </c>
      <c r="Y24" s="949">
        <f t="shared" si="6"/>
        <v>0</v>
      </c>
      <c r="Z24" s="950">
        <f t="shared" si="6"/>
        <v>0</v>
      </c>
      <c r="AA24" s="951">
        <f t="shared" si="6"/>
        <v>0</v>
      </c>
      <c r="AB24" s="948">
        <f t="shared" si="6"/>
        <v>15</v>
      </c>
      <c r="AC24" s="948">
        <f t="shared" si="6"/>
        <v>279</v>
      </c>
      <c r="AD24" s="948">
        <f t="shared" si="6"/>
        <v>243</v>
      </c>
      <c r="AE24" s="948">
        <f t="shared" si="6"/>
        <v>331</v>
      </c>
      <c r="AF24" s="949">
        <f t="shared" si="6"/>
        <v>331</v>
      </c>
      <c r="AH24" s="564"/>
    </row>
    <row r="25" spans="1:34">
      <c r="A25" s="277"/>
      <c r="B25" s="1552">
        <v>2030501</v>
      </c>
      <c r="C25" s="1735">
        <v>0.1</v>
      </c>
      <c r="D25" s="1734" t="s">
        <v>1391</v>
      </c>
      <c r="E25" s="930">
        <f>'11.2. Нови активи отч.год.'!E26</f>
        <v>0</v>
      </c>
      <c r="F25" s="886">
        <f>SUMIF('9.Инвестиционна програма'!$B$11:$B$34,$B25,'9.Инвестиционна програма'!F$11:F$34)*$E$5</f>
        <v>19</v>
      </c>
      <c r="G25" s="887">
        <f>SUMIF('9.Инвестиционна програма'!$B$11:$B$34,$B25,'9.Инвестиционна програма'!G$11:G$34)*$E$5</f>
        <v>109</v>
      </c>
      <c r="H25" s="887">
        <f>SUMIF('9.Инвестиционна програма'!$B$11:$B$34,$B25,'9.Инвестиционна програма'!H$11:H$34)*$E$5</f>
        <v>130</v>
      </c>
      <c r="I25" s="887">
        <f>SUMIF('9.Инвестиционна програма'!$B$11:$B$34,$B25,'9.Инвестиционна програма'!I$11:I$34)*$E$5</f>
        <v>150</v>
      </c>
      <c r="J25" s="887">
        <f>SUMIF('9.Инвестиционна програма'!$B$11:$B$34,$B25,'9.Инвестиционна програма'!J$11:J$34)*$E$5</f>
        <v>265</v>
      </c>
      <c r="K25" s="888">
        <f>SUMIF('9.Инвестиционна програма'!$B$11:$B$34,$B25,'9.Инвестиционна програма'!K$11:K$34)*$E$5</f>
        <v>265</v>
      </c>
      <c r="L25" s="1442">
        <f>'11.2. Нови активи отч.год.'!L26</f>
        <v>0</v>
      </c>
      <c r="M25" s="935">
        <f>SUMIF('9.Инвестиционна програма'!$B$36:$B$46,$B25,'9.Инвестиционна програма'!F$36:F$46)*$E$5</f>
        <v>0</v>
      </c>
      <c r="N25" s="936">
        <f>SUMIF('9.Инвестиционна програма'!$B$36:$B$46,$B25,'9.Инвестиционна програма'!G$36:G$46)*$E$5</f>
        <v>0</v>
      </c>
      <c r="O25" s="936">
        <f>SUMIF('9.Инвестиционна програма'!$B$36:$B$46,$B25,'9.Инвестиционна програма'!H$36:H$46)*$E$5</f>
        <v>0</v>
      </c>
      <c r="P25" s="936">
        <f>SUMIF('9.Инвестиционна програма'!$B$36:$B$46,$B25,'9.Инвестиционна програма'!I$36:I$46)*$E$5</f>
        <v>0</v>
      </c>
      <c r="Q25" s="936">
        <f>SUMIF('9.Инвестиционна програма'!$B$36:$B$46,$B25,'9.Инвестиционна програма'!J$36:J$46)*$E$5</f>
        <v>0</v>
      </c>
      <c r="R25" s="937">
        <f>SUMIF('9.Инвестиционна програма'!$B$36:$B$46,$B25,'9.Инвестиционна програма'!K$36:K$46)*$E$5</f>
        <v>0</v>
      </c>
      <c r="S25" s="931">
        <f>'11.2. Нови активи отч.год.'!S26</f>
        <v>0</v>
      </c>
      <c r="T25" s="932">
        <f>SUMIF('9.Инвестиционна програма'!$B$48:$B$55,$B25,'9.Инвестиционна програма'!F$48:F$55)*$E$5</f>
        <v>0</v>
      </c>
      <c r="U25" s="932">
        <f>SUMIF('9.Инвестиционна програма'!$B$48:$B$55,$B25,'9.Инвестиционна програма'!G$48:G$55)*$E$5</f>
        <v>0</v>
      </c>
      <c r="V25" s="932">
        <f>SUMIF('9.Инвестиционна програма'!$B$48:$B$55,$B25,'9.Инвестиционна програма'!H$48:H$55)*$E$5</f>
        <v>0</v>
      </c>
      <c r="W25" s="932">
        <f>SUMIF('9.Инвестиционна програма'!$B$48:$B$55,$B25,'9.Инвестиционна програма'!I$48:I$55)*$E$5</f>
        <v>0</v>
      </c>
      <c r="X25" s="932">
        <f>SUMIF('9.Инвестиционна програма'!$B$48:$B$55,$B25,'9.Инвестиционна програма'!J$48:J$55)*$E$5</f>
        <v>0</v>
      </c>
      <c r="Y25" s="932">
        <f>SUMIF('9.Инвестиционна програма'!$B$48:$B$55,$B25,'9.Инвестиционна програма'!K$48:K$55)*$E$5</f>
        <v>0</v>
      </c>
      <c r="Z25" s="931">
        <f>'11.2. Нови активи отч.год.'!Z26</f>
        <v>0</v>
      </c>
      <c r="AA25" s="935">
        <f>(SUMIF('9.Инвестиционна програма'!$B$57:$B$58,$B25,'9.Инвестиционна програма'!F$57:F$58)+SUMIF('9.Инвестиционна програма'!$B$60:$B$67,$B25,'9.Инвестиционна програма'!F$60:F$67))*$E$5</f>
        <v>0</v>
      </c>
      <c r="AB25" s="932">
        <f>(SUMIF('9.Инвестиционна програма'!$B$57:$B$58,$B25,'9.Инвестиционна програма'!G$57:G$58)+SUMIF('9.Инвестиционна програма'!$B$60:$B$67,$B25,'9.Инвестиционна програма'!G$60:G$67))*$E$5</f>
        <v>15</v>
      </c>
      <c r="AC25" s="932">
        <f>(SUMIF('9.Инвестиционна програма'!$B$57:$B$58,$B25,'9.Инвестиционна програма'!H$57:H$58)+SUMIF('9.Инвестиционна програма'!$B$60:$B$67,$B25,'9.Инвестиционна програма'!H$60:H$67))*$E$5</f>
        <v>279</v>
      </c>
      <c r="AD25" s="932">
        <f>(SUMIF('9.Инвестиционна програма'!$B$57:$B$58,$B25,'9.Инвестиционна програма'!I$57:I$58)+SUMIF('9.Инвестиционна програма'!$B$60:$B$67,$B25,'9.Инвестиционна програма'!I$60:I$67))*$E$5</f>
        <v>243</v>
      </c>
      <c r="AE25" s="932">
        <f>(SUMIF('9.Инвестиционна програма'!$B$57:$B$58,$B25,'9.Инвестиционна програма'!J$57:J$58)+SUMIF('9.Инвестиционна програма'!$B$60:$B$67,$B25,'9.Инвестиционна програма'!J$60:J$67))*$E$5</f>
        <v>331</v>
      </c>
      <c r="AF25" s="938">
        <f>(SUMIF('9.Инвестиционна програма'!$B$57:$B$58,$B25,'9.Инвестиционна програма'!K$57:K$58)+SUMIF('9.Инвестиционна програма'!$B$60:$B$67,$B25,'9.Инвестиционна програма'!K$60:K$67))*$E$5</f>
        <v>331</v>
      </c>
      <c r="AG25" s="306"/>
      <c r="AH25" s="564"/>
    </row>
    <row r="26" spans="1:34" ht="24">
      <c r="A26" s="277"/>
      <c r="B26" s="1552">
        <v>2030502</v>
      </c>
      <c r="C26" s="1735">
        <v>0.1</v>
      </c>
      <c r="D26" s="1734" t="s">
        <v>948</v>
      </c>
      <c r="E26" s="930">
        <f>'11.2. Нови активи отч.год.'!E27</f>
        <v>0</v>
      </c>
      <c r="F26" s="886">
        <f>SUMIF('9.Инвестиционна програма'!$B$11:$B$34,$B26,'9.Инвестиционна програма'!F$11:F$34)*$E$5</f>
        <v>0</v>
      </c>
      <c r="G26" s="887">
        <f>SUMIF('9.Инвестиционна програма'!$B$11:$B$34,$B26,'9.Инвестиционна програма'!G$11:G$34)*$E$5</f>
        <v>92</v>
      </c>
      <c r="H26" s="887">
        <f>SUMIF('9.Инвестиционна програма'!$B$11:$B$34,$B26,'9.Инвестиционна програма'!H$11:H$34)*$E$5</f>
        <v>0</v>
      </c>
      <c r="I26" s="887">
        <f>SUMIF('9.Инвестиционна програма'!$B$11:$B$34,$B26,'9.Инвестиционна програма'!I$11:I$34)*$E$5</f>
        <v>75</v>
      </c>
      <c r="J26" s="887">
        <f>SUMIF('9.Инвестиционна програма'!$B$11:$B$34,$B26,'9.Инвестиционна програма'!J$11:J$34)*$E$5</f>
        <v>70</v>
      </c>
      <c r="K26" s="888">
        <f>SUMIF('9.Инвестиционна програма'!$B$11:$B$34,$B26,'9.Инвестиционна програма'!K$11:K$34)*$E$5</f>
        <v>70</v>
      </c>
      <c r="L26" s="1442">
        <f>'11.2. Нови активи отч.год.'!L27</f>
        <v>0</v>
      </c>
      <c r="M26" s="935">
        <f>SUMIF('9.Инвестиционна програма'!$B$36:$B$46,$B26,'9.Инвестиционна програма'!F$36:F$46)*$E$5</f>
        <v>0</v>
      </c>
      <c r="N26" s="936">
        <f>SUMIF('9.Инвестиционна програма'!$B$36:$B$46,$B26,'9.Инвестиционна програма'!G$36:G$46)*$E$5</f>
        <v>0</v>
      </c>
      <c r="O26" s="936">
        <f>SUMIF('9.Инвестиционна програма'!$B$36:$B$46,$B26,'9.Инвестиционна програма'!H$36:H$46)*$E$5</f>
        <v>0</v>
      </c>
      <c r="P26" s="936">
        <f>SUMIF('9.Инвестиционна програма'!$B$36:$B$46,$B26,'9.Инвестиционна програма'!I$36:I$46)*$E$5</f>
        <v>0</v>
      </c>
      <c r="Q26" s="936">
        <f>SUMIF('9.Инвестиционна програма'!$B$36:$B$46,$B26,'9.Инвестиционна програма'!J$36:J$46)*$E$5</f>
        <v>0</v>
      </c>
      <c r="R26" s="937">
        <f>SUMIF('9.Инвестиционна програма'!$B$36:$B$46,$B26,'9.Инвестиционна програма'!K$36:K$46)*$E$5</f>
        <v>0</v>
      </c>
      <c r="S26" s="931">
        <f>'11.2. Нови активи отч.год.'!S27</f>
        <v>0</v>
      </c>
      <c r="T26" s="932">
        <f>SUMIF('9.Инвестиционна програма'!$B$48:$B$55,$B26,'9.Инвестиционна програма'!F$48:F$55)*$E$5</f>
        <v>0</v>
      </c>
      <c r="U26" s="932">
        <f>SUMIF('9.Инвестиционна програма'!$B$48:$B$55,$B26,'9.Инвестиционна програма'!G$48:G$55)*$E$5</f>
        <v>0</v>
      </c>
      <c r="V26" s="932">
        <f>SUMIF('9.Инвестиционна програма'!$B$48:$B$55,$B26,'9.Инвестиционна програма'!H$48:H$55)*$E$5</f>
        <v>0</v>
      </c>
      <c r="W26" s="932">
        <f>SUMIF('9.Инвестиционна програма'!$B$48:$B$55,$B26,'9.Инвестиционна програма'!I$48:I$55)*$E$5</f>
        <v>0</v>
      </c>
      <c r="X26" s="932">
        <f>SUMIF('9.Инвестиционна програма'!$B$48:$B$55,$B26,'9.Инвестиционна програма'!J$48:J$55)*$E$5</f>
        <v>0</v>
      </c>
      <c r="Y26" s="932">
        <f>SUMIF('9.Инвестиционна програма'!$B$48:$B$55,$B26,'9.Инвестиционна програма'!K$48:K$55)*$E$5</f>
        <v>0</v>
      </c>
      <c r="Z26" s="931">
        <f>'11.2. Нови активи отч.год.'!Z27</f>
        <v>0</v>
      </c>
      <c r="AA26" s="935">
        <f>(SUMIF('9.Инвестиционна програма'!$B$57:$B$58,$B26,'9.Инвестиционна програма'!F$57:F$58)+SUMIF('9.Инвестиционна програма'!$B$60:$B$67,$B26,'9.Инвестиционна програма'!F$60:F$67))*$E$5</f>
        <v>0</v>
      </c>
      <c r="AB26" s="932">
        <f>(SUMIF('9.Инвестиционна програма'!$B$57:$B$58,$B26,'9.Инвестиционна програма'!G$57:G$58)+SUMIF('9.Инвестиционна програма'!$B$60:$B$67,$B26,'9.Инвестиционна програма'!G$60:G$67))*$E$5</f>
        <v>0</v>
      </c>
      <c r="AC26" s="932">
        <f>(SUMIF('9.Инвестиционна програма'!$B$57:$B$58,$B26,'9.Инвестиционна програма'!H$57:H$58)+SUMIF('9.Инвестиционна програма'!$B$60:$B$67,$B26,'9.Инвестиционна програма'!H$60:H$67))*$E$5</f>
        <v>0</v>
      </c>
      <c r="AD26" s="932">
        <f>(SUMIF('9.Инвестиционна програма'!$B$57:$B$58,$B26,'9.Инвестиционна програма'!I$57:I$58)+SUMIF('9.Инвестиционна програма'!$B$60:$B$67,$B26,'9.Инвестиционна програма'!I$60:I$67))*$E$5</f>
        <v>0</v>
      </c>
      <c r="AE26" s="932">
        <f>(SUMIF('9.Инвестиционна програма'!$B$57:$B$58,$B26,'9.Инвестиционна програма'!J$57:J$58)+SUMIF('9.Инвестиционна програма'!$B$60:$B$67,$B26,'9.Инвестиционна програма'!J$60:J$67))*$E$5</f>
        <v>0</v>
      </c>
      <c r="AF26" s="938">
        <f>(SUMIF('9.Инвестиционна програма'!$B$57:$B$58,$B26,'9.Инвестиционна програма'!K$57:K$58)+SUMIF('9.Инвестиционна програма'!$B$60:$B$67,$B26,'9.Инвестиционна програма'!K$60:K$67))*$E$5</f>
        <v>0</v>
      </c>
      <c r="AG26" s="306"/>
      <c r="AH26" s="564"/>
    </row>
    <row r="27" spans="1:34">
      <c r="A27" s="277"/>
      <c r="B27" s="1552">
        <v>2030503</v>
      </c>
      <c r="C27" s="1735">
        <v>0.1</v>
      </c>
      <c r="D27" s="1734" t="s">
        <v>966</v>
      </c>
      <c r="E27" s="930">
        <f>'11.2. Нови активи отч.год.'!E28</f>
        <v>0</v>
      </c>
      <c r="F27" s="886">
        <f>SUMIF('9.Инвестиционна програма'!$B$11:$B$34,$B27,'9.Инвестиционна програма'!F$11:F$34)*$E$5</f>
        <v>1</v>
      </c>
      <c r="G27" s="887">
        <f>SUMIF('9.Инвестиционна програма'!$B$11:$B$34,$B27,'9.Инвестиционна програма'!G$11:G$34)*$E$5</f>
        <v>0</v>
      </c>
      <c r="H27" s="887">
        <f>SUMIF('9.Инвестиционна програма'!$B$11:$B$34,$B27,'9.Инвестиционна програма'!H$11:H$34)*$E$5</f>
        <v>0</v>
      </c>
      <c r="I27" s="887">
        <f>SUMIF('9.Инвестиционна програма'!$B$11:$B$34,$B27,'9.Инвестиционна програма'!I$11:I$34)*$E$5</f>
        <v>48</v>
      </c>
      <c r="J27" s="887">
        <f>SUMIF('9.Инвестиционна програма'!$B$11:$B$34,$B27,'9.Инвестиционна програма'!J$11:J$34)*$E$5</f>
        <v>50</v>
      </c>
      <c r="K27" s="888">
        <f>SUMIF('9.Инвестиционна програма'!$B$11:$B$34,$B27,'9.Инвестиционна програма'!K$11:K$34)*$E$5</f>
        <v>55</v>
      </c>
      <c r="L27" s="1442">
        <f>'11.2. Нови активи отч.год.'!L28</f>
        <v>0</v>
      </c>
      <c r="M27" s="935">
        <f>SUMIF('9.Инвестиционна програма'!$B$36:$B$46,$B27,'9.Инвестиционна програма'!F$36:F$46)*$E$5</f>
        <v>41</v>
      </c>
      <c r="N27" s="936">
        <f>SUMIF('9.Инвестиционна програма'!$B$36:$B$46,$B27,'9.Инвестиционна програма'!G$36:G$46)*$E$5</f>
        <v>0</v>
      </c>
      <c r="O27" s="936">
        <f>SUMIF('9.Инвестиционна програма'!$B$36:$B$46,$B27,'9.Инвестиционна програма'!H$36:H$46)*$E$5</f>
        <v>0</v>
      </c>
      <c r="P27" s="936">
        <f>SUMIF('9.Инвестиционна програма'!$B$36:$B$46,$B27,'9.Инвестиционна програма'!I$36:I$46)*$E$5</f>
        <v>50</v>
      </c>
      <c r="Q27" s="936">
        <f>SUMIF('9.Инвестиционна програма'!$B$36:$B$46,$B27,'9.Инвестиционна програма'!J$36:J$46)*$E$5</f>
        <v>15</v>
      </c>
      <c r="R27" s="937">
        <f>SUMIF('9.Инвестиционна програма'!$B$36:$B$46,$B27,'9.Инвестиционна програма'!K$36:K$46)*$E$5</f>
        <v>15</v>
      </c>
      <c r="S27" s="931">
        <f>'11.2. Нови активи отч.год.'!S28</f>
        <v>0</v>
      </c>
      <c r="T27" s="932">
        <f>SUMIF('9.Инвестиционна програма'!$B$48:$B$55,$B27,'9.Инвестиционна програма'!F$48:F$55)*$E$5</f>
        <v>30</v>
      </c>
      <c r="U27" s="932">
        <f>SUMIF('9.Инвестиционна програма'!$B$48:$B$55,$B27,'9.Инвестиционна програма'!G$48:G$55)*$E$5</f>
        <v>0</v>
      </c>
      <c r="V27" s="932">
        <f>SUMIF('9.Инвестиционна програма'!$B$48:$B$55,$B27,'9.Инвестиционна програма'!H$48:H$55)*$E$5</f>
        <v>0</v>
      </c>
      <c r="W27" s="932">
        <f>SUMIF('9.Инвестиционна програма'!$B$48:$B$55,$B27,'9.Инвестиционна програма'!I$48:I$55)*$E$5</f>
        <v>0</v>
      </c>
      <c r="X27" s="932">
        <f>SUMIF('9.Инвестиционна програма'!$B$48:$B$55,$B27,'9.Инвестиционна програма'!J$48:J$55)*$E$5</f>
        <v>0</v>
      </c>
      <c r="Y27" s="932">
        <f>SUMIF('9.Инвестиционна програма'!$B$48:$B$55,$B27,'9.Инвестиционна програма'!K$48:K$55)*$E$5</f>
        <v>0</v>
      </c>
      <c r="Z27" s="931">
        <f>'11.2. Нови активи отч.год.'!Z28</f>
        <v>0</v>
      </c>
      <c r="AA27" s="935">
        <f>(SUMIF('9.Инвестиционна програма'!$B$57:$B$58,$B27,'9.Инвестиционна програма'!F$57:F$58)+SUMIF('9.Инвестиционна програма'!$B$60:$B$67,$B27,'9.Инвестиционна програма'!F$60:F$67))*$E$5</f>
        <v>0</v>
      </c>
      <c r="AB27" s="932">
        <f>(SUMIF('9.Инвестиционна програма'!$B$57:$B$58,$B27,'9.Инвестиционна програма'!G$57:G$58)+SUMIF('9.Инвестиционна програма'!$B$60:$B$67,$B27,'9.Инвестиционна програма'!G$60:G$67))*$E$5</f>
        <v>0</v>
      </c>
      <c r="AC27" s="932">
        <f>(SUMIF('9.Инвестиционна програма'!$B$57:$B$58,$B27,'9.Инвестиционна програма'!H$57:H$58)+SUMIF('9.Инвестиционна програма'!$B$60:$B$67,$B27,'9.Инвестиционна програма'!H$60:H$67))*$E$5</f>
        <v>0</v>
      </c>
      <c r="AD27" s="932">
        <f>(SUMIF('9.Инвестиционна програма'!$B$57:$B$58,$B27,'9.Инвестиционна програма'!I$57:I$58)+SUMIF('9.Инвестиционна програма'!$B$60:$B$67,$B27,'9.Инвестиционна програма'!I$60:I$67))*$E$5</f>
        <v>0</v>
      </c>
      <c r="AE27" s="932">
        <f>(SUMIF('9.Инвестиционна програма'!$B$57:$B$58,$B27,'9.Инвестиционна програма'!J$57:J$58)+SUMIF('9.Инвестиционна програма'!$B$60:$B$67,$B27,'9.Инвестиционна програма'!J$60:J$67))*$E$5</f>
        <v>0</v>
      </c>
      <c r="AF27" s="938">
        <f>(SUMIF('9.Инвестиционна програма'!$B$57:$B$58,$B27,'9.Инвестиционна програма'!K$57:K$58)+SUMIF('9.Инвестиционна програма'!$B$60:$B$67,$B27,'9.Инвестиционна програма'!K$60:K$67))*$E$5</f>
        <v>0</v>
      </c>
      <c r="AG27" s="306"/>
      <c r="AH27" s="564"/>
    </row>
    <row r="28" spans="1:34">
      <c r="A28" s="277"/>
      <c r="B28" s="1552">
        <v>20306</v>
      </c>
      <c r="C28" s="1553">
        <v>0.1</v>
      </c>
      <c r="D28" s="1546" t="s">
        <v>581</v>
      </c>
      <c r="E28" s="930">
        <f>'11.2. Нови активи отч.год.'!E29</f>
        <v>54</v>
      </c>
      <c r="F28" s="886">
        <f>SUMIF('9.Инвестиционна програма'!$B$11:$B$34,$B28,'9.Инвестиционна програма'!F$11:F$34)*$E$5</f>
        <v>63</v>
      </c>
      <c r="G28" s="887">
        <f>SUMIF('9.Инвестиционна програма'!$B$11:$B$34,$B28,'9.Инвестиционна програма'!G$11:G$34)*$E$5</f>
        <v>0</v>
      </c>
      <c r="H28" s="887">
        <f>SUMIF('9.Инвестиционна програма'!$B$11:$B$34,$B28,'9.Инвестиционна програма'!H$11:H$34)*$E$5</f>
        <v>0</v>
      </c>
      <c r="I28" s="887">
        <f>SUMIF('9.Инвестиционна програма'!$B$11:$B$34,$B28,'9.Инвестиционна програма'!I$11:I$34)*$E$5</f>
        <v>40</v>
      </c>
      <c r="J28" s="887">
        <f>SUMIF('9.Инвестиционна програма'!$B$11:$B$34,$B28,'9.Инвестиционна програма'!J$11:J$34)*$E$5</f>
        <v>35</v>
      </c>
      <c r="K28" s="888">
        <f>SUMIF('9.Инвестиционна програма'!$B$11:$B$34,$B28,'9.Инвестиционна програма'!K$11:K$34)*$E$5</f>
        <v>35</v>
      </c>
      <c r="L28" s="1442">
        <f>'11.2. Нови активи отч.год.'!L29</f>
        <v>0</v>
      </c>
      <c r="M28" s="935">
        <f>SUMIF('9.Инвестиционна програма'!$B$36:$B$46,$B28,'9.Инвестиционна програма'!F$36:F$46)*$E$5</f>
        <v>57</v>
      </c>
      <c r="N28" s="936">
        <f>SUMIF('9.Инвестиционна програма'!$B$36:$B$46,$B28,'9.Инвестиционна програма'!G$36:G$46)*$E$5</f>
        <v>0</v>
      </c>
      <c r="O28" s="936">
        <f>SUMIF('9.Инвестиционна програма'!$B$36:$B$46,$B28,'9.Инвестиционна програма'!H$36:H$46)*$E$5</f>
        <v>0</v>
      </c>
      <c r="P28" s="936">
        <f>SUMIF('9.Инвестиционна програма'!$B$36:$B$46,$B28,'9.Инвестиционна програма'!I$36:I$46)*$E$5</f>
        <v>4</v>
      </c>
      <c r="Q28" s="936">
        <f>SUMIF('9.Инвестиционна програма'!$B$36:$B$46,$B28,'9.Инвестиционна програма'!J$36:J$46)*$E$5</f>
        <v>4</v>
      </c>
      <c r="R28" s="937">
        <f>SUMIF('9.Инвестиционна програма'!$B$36:$B$46,$B28,'9.Инвестиционна програма'!K$36:K$46)*$E$5</f>
        <v>4</v>
      </c>
      <c r="S28" s="931">
        <f>'11.2. Нови активи отч.год.'!S29</f>
        <v>0</v>
      </c>
      <c r="T28" s="932">
        <f>SUMIF('9.Инвестиционна програма'!$B$48:$B$55,$B28,'9.Инвестиционна програма'!F$48:F$55)*$E$5</f>
        <v>16</v>
      </c>
      <c r="U28" s="932">
        <f>SUMIF('9.Инвестиционна програма'!$B$48:$B$55,$B28,'9.Инвестиционна програма'!G$48:G$55)*$E$5</f>
        <v>14</v>
      </c>
      <c r="V28" s="932">
        <f>SUMIF('9.Инвестиционна програма'!$B$48:$B$55,$B28,'9.Инвестиционна програма'!H$48:H$55)*$E$5</f>
        <v>40</v>
      </c>
      <c r="W28" s="932">
        <f>SUMIF('9.Инвестиционна програма'!$B$48:$B$55,$B28,'9.Инвестиционна програма'!I$48:I$55)*$E$5</f>
        <v>35</v>
      </c>
      <c r="X28" s="932">
        <f>SUMIF('9.Инвестиционна програма'!$B$48:$B$55,$B28,'9.Инвестиционна програма'!J$48:J$55)*$E$5</f>
        <v>35</v>
      </c>
      <c r="Y28" s="932">
        <f>SUMIF('9.Инвестиционна програма'!$B$48:$B$55,$B28,'9.Инвестиционна програма'!K$48:K$55)*$E$5</f>
        <v>35</v>
      </c>
      <c r="Z28" s="931">
        <f>'11.2. Нови активи отч.год.'!Z29</f>
        <v>0</v>
      </c>
      <c r="AA28" s="935">
        <f>(SUMIF('9.Инвестиционна програма'!$B$57:$B$58,$B28,'9.Инвестиционна програма'!F$57:F$58)+SUMIF('9.Инвестиционна програма'!$B$60:$B$67,$B28,'9.Инвестиционна програма'!F$60:F$67))*$E$5</f>
        <v>0</v>
      </c>
      <c r="AB28" s="932">
        <f>(SUMIF('9.Инвестиционна програма'!$B$57:$B$58,$B28,'9.Инвестиционна програма'!G$57:G$58)+SUMIF('9.Инвестиционна програма'!$B$60:$B$67,$B28,'9.Инвестиционна програма'!G$60:G$67))*$E$5</f>
        <v>0</v>
      </c>
      <c r="AC28" s="932">
        <f>(SUMIF('9.Инвестиционна програма'!$B$57:$B$58,$B28,'9.Инвестиционна програма'!H$57:H$58)+SUMIF('9.Инвестиционна програма'!$B$60:$B$67,$B28,'9.Инвестиционна програма'!H$60:H$67))*$E$5</f>
        <v>0</v>
      </c>
      <c r="AD28" s="932">
        <f>(SUMIF('9.Инвестиционна програма'!$B$57:$B$58,$B28,'9.Инвестиционна програма'!I$57:I$58)+SUMIF('9.Инвестиционна програма'!$B$60:$B$67,$B28,'9.Инвестиционна програма'!I$60:I$67))*$E$5</f>
        <v>0</v>
      </c>
      <c r="AE28" s="932">
        <f>(SUMIF('9.Инвестиционна програма'!$B$57:$B$58,$B28,'9.Инвестиционна програма'!J$57:J$58)+SUMIF('9.Инвестиционна програма'!$B$60:$B$67,$B28,'9.Инвестиционна програма'!J$60:J$67))*$E$5</f>
        <v>0</v>
      </c>
      <c r="AF28" s="938">
        <f>(SUMIF('9.Инвестиционна програма'!$B$57:$B$58,$B28,'9.Инвестиционна програма'!K$57:K$58)+SUMIF('9.Инвестиционна програма'!$B$60:$B$67,$B28,'9.Инвестиционна програма'!K$60:K$67))*$E$5</f>
        <v>0</v>
      </c>
      <c r="AG28" s="306"/>
      <c r="AH28" s="564"/>
    </row>
    <row r="29" spans="1:34" ht="14.25" customHeight="1">
      <c r="A29" s="939">
        <v>4</v>
      </c>
      <c r="B29" s="1728">
        <v>204</v>
      </c>
      <c r="C29" s="1729"/>
      <c r="D29" s="1736" t="s">
        <v>274</v>
      </c>
      <c r="E29" s="945">
        <f>E30+E33+E42+E43</f>
        <v>0</v>
      </c>
      <c r="F29" s="890">
        <f t="shared" ref="F29:AF29" si="7">F30+F33+F42+F43</f>
        <v>1983</v>
      </c>
      <c r="G29" s="891">
        <f t="shared" si="7"/>
        <v>1133</v>
      </c>
      <c r="H29" s="891">
        <f t="shared" si="7"/>
        <v>1442</v>
      </c>
      <c r="I29" s="891">
        <f t="shared" si="7"/>
        <v>1419</v>
      </c>
      <c r="J29" s="891">
        <f t="shared" si="7"/>
        <v>1605</v>
      </c>
      <c r="K29" s="892">
        <f t="shared" si="7"/>
        <v>1400</v>
      </c>
      <c r="L29" s="1986">
        <f t="shared" si="7"/>
        <v>0</v>
      </c>
      <c r="M29" s="890">
        <f t="shared" si="7"/>
        <v>84</v>
      </c>
      <c r="N29" s="891">
        <f t="shared" si="7"/>
        <v>0</v>
      </c>
      <c r="O29" s="891">
        <f t="shared" si="7"/>
        <v>155</v>
      </c>
      <c r="P29" s="891">
        <f t="shared" si="7"/>
        <v>510</v>
      </c>
      <c r="Q29" s="891">
        <f t="shared" si="7"/>
        <v>775</v>
      </c>
      <c r="R29" s="892">
        <f t="shared" si="7"/>
        <v>775</v>
      </c>
      <c r="S29" s="889">
        <f t="shared" si="7"/>
        <v>0</v>
      </c>
      <c r="T29" s="893">
        <f t="shared" si="7"/>
        <v>120</v>
      </c>
      <c r="U29" s="891">
        <f t="shared" si="7"/>
        <v>34</v>
      </c>
      <c r="V29" s="891">
        <f t="shared" si="7"/>
        <v>118</v>
      </c>
      <c r="W29" s="891">
        <f t="shared" si="7"/>
        <v>70</v>
      </c>
      <c r="X29" s="891">
        <f t="shared" si="7"/>
        <v>35</v>
      </c>
      <c r="Y29" s="892">
        <f t="shared" si="7"/>
        <v>20</v>
      </c>
      <c r="Z29" s="889">
        <f t="shared" si="7"/>
        <v>0</v>
      </c>
      <c r="AA29" s="893">
        <f t="shared" si="7"/>
        <v>0</v>
      </c>
      <c r="AB29" s="891">
        <f t="shared" si="7"/>
        <v>0</v>
      </c>
      <c r="AC29" s="891">
        <f t="shared" si="7"/>
        <v>0</v>
      </c>
      <c r="AD29" s="891">
        <f t="shared" si="7"/>
        <v>0</v>
      </c>
      <c r="AE29" s="891">
        <f t="shared" si="7"/>
        <v>0</v>
      </c>
      <c r="AF29" s="892">
        <f t="shared" si="7"/>
        <v>0</v>
      </c>
      <c r="AG29" s="306"/>
      <c r="AH29" s="564"/>
    </row>
    <row r="30" spans="1:34">
      <c r="A30" s="277"/>
      <c r="B30" s="1552">
        <v>20401</v>
      </c>
      <c r="C30" s="1557"/>
      <c r="D30" s="1558" t="s">
        <v>589</v>
      </c>
      <c r="E30" s="946">
        <f t="shared" ref="E30:AF30" si="8">SUM(E31:E32)</f>
        <v>0</v>
      </c>
      <c r="F30" s="947">
        <f t="shared" si="8"/>
        <v>0</v>
      </c>
      <c r="G30" s="948">
        <f t="shared" si="8"/>
        <v>0</v>
      </c>
      <c r="H30" s="948">
        <f t="shared" si="8"/>
        <v>0</v>
      </c>
      <c r="I30" s="948">
        <f t="shared" si="8"/>
        <v>0</v>
      </c>
      <c r="J30" s="948">
        <f t="shared" si="8"/>
        <v>0</v>
      </c>
      <c r="K30" s="949">
        <f t="shared" si="8"/>
        <v>0</v>
      </c>
      <c r="L30" s="1987">
        <f t="shared" si="8"/>
        <v>0</v>
      </c>
      <c r="M30" s="947">
        <f t="shared" si="8"/>
        <v>0</v>
      </c>
      <c r="N30" s="948">
        <f t="shared" si="8"/>
        <v>0</v>
      </c>
      <c r="O30" s="948">
        <f t="shared" si="8"/>
        <v>0</v>
      </c>
      <c r="P30" s="948">
        <f t="shared" si="8"/>
        <v>0</v>
      </c>
      <c r="Q30" s="948">
        <f t="shared" si="8"/>
        <v>0</v>
      </c>
      <c r="R30" s="949">
        <f t="shared" si="8"/>
        <v>0</v>
      </c>
      <c r="S30" s="950">
        <f t="shared" si="8"/>
        <v>0</v>
      </c>
      <c r="T30" s="951">
        <f t="shared" si="8"/>
        <v>0</v>
      </c>
      <c r="U30" s="948">
        <f t="shared" si="8"/>
        <v>0</v>
      </c>
      <c r="V30" s="948">
        <f t="shared" si="8"/>
        <v>0</v>
      </c>
      <c r="W30" s="948">
        <f t="shared" si="8"/>
        <v>0</v>
      </c>
      <c r="X30" s="948">
        <f t="shared" si="8"/>
        <v>0</v>
      </c>
      <c r="Y30" s="949">
        <f t="shared" si="8"/>
        <v>0</v>
      </c>
      <c r="Z30" s="950">
        <f t="shared" si="8"/>
        <v>0</v>
      </c>
      <c r="AA30" s="951">
        <f t="shared" si="8"/>
        <v>0</v>
      </c>
      <c r="AB30" s="948">
        <f t="shared" si="8"/>
        <v>0</v>
      </c>
      <c r="AC30" s="948">
        <f t="shared" si="8"/>
        <v>0</v>
      </c>
      <c r="AD30" s="948">
        <f t="shared" si="8"/>
        <v>0</v>
      </c>
      <c r="AE30" s="948">
        <f t="shared" si="8"/>
        <v>0</v>
      </c>
      <c r="AF30" s="949">
        <f t="shared" si="8"/>
        <v>0</v>
      </c>
      <c r="AH30" s="564"/>
    </row>
    <row r="31" spans="1:34">
      <c r="A31" s="277"/>
      <c r="B31" s="1732">
        <v>2040101</v>
      </c>
      <c r="C31" s="1733">
        <v>0.1</v>
      </c>
      <c r="D31" s="1737" t="s">
        <v>603</v>
      </c>
      <c r="E31" s="930">
        <f>'11.2. Нови активи отч.год.'!E32</f>
        <v>0</v>
      </c>
      <c r="F31" s="886">
        <f>SUMIF('9.Инвестиционна програма'!$B$11:$B$34,$B31,'9.Инвестиционна програма'!F$11:F$34)*$E$5</f>
        <v>0</v>
      </c>
      <c r="G31" s="887">
        <f>SUMIF('9.Инвестиционна програма'!$B$11:$B$34,$B31,'9.Инвестиционна програма'!G$11:G$34)*$E$5</f>
        <v>0</v>
      </c>
      <c r="H31" s="887">
        <f>SUMIF('9.Инвестиционна програма'!$B$11:$B$34,$B31,'9.Инвестиционна програма'!H$11:H$34)*$E$5</f>
        <v>0</v>
      </c>
      <c r="I31" s="887">
        <f>SUMIF('9.Инвестиционна програма'!$B$11:$B$34,$B31,'9.Инвестиционна програма'!I$11:I$34)*$E$5</f>
        <v>0</v>
      </c>
      <c r="J31" s="887">
        <f>SUMIF('9.Инвестиционна програма'!$B$11:$B$34,$B31,'9.Инвестиционна програма'!J$11:J$34)*$E$5</f>
        <v>0</v>
      </c>
      <c r="K31" s="888">
        <f>SUMIF('9.Инвестиционна програма'!$B$11:$B$34,$B31,'9.Инвестиционна програма'!K$11:K$34)*$E$5</f>
        <v>0</v>
      </c>
      <c r="L31" s="1442">
        <f>'11.2. Нови активи отч.год.'!L32</f>
        <v>0</v>
      </c>
      <c r="M31" s="935">
        <f>SUMIF('9.Инвестиционна програма'!$B$36:$B$46,$B31,'9.Инвестиционна програма'!F$36:F$46)*$E$5</f>
        <v>0</v>
      </c>
      <c r="N31" s="936">
        <f>SUMIF('9.Инвестиционна програма'!$B$36:$B$46,$B31,'9.Инвестиционна програма'!G$36:G$46)*$E$5</f>
        <v>0</v>
      </c>
      <c r="O31" s="936">
        <f>SUMIF('9.Инвестиционна програма'!$B$36:$B$46,$B31,'9.Инвестиционна програма'!H$36:H$46)*$E$5</f>
        <v>0</v>
      </c>
      <c r="P31" s="936">
        <f>SUMIF('9.Инвестиционна програма'!$B$36:$B$46,$B31,'9.Инвестиционна програма'!I$36:I$46)*$E$5</f>
        <v>0</v>
      </c>
      <c r="Q31" s="936">
        <f>SUMIF('9.Инвестиционна програма'!$B$36:$B$46,$B31,'9.Инвестиционна програма'!J$36:J$46)*$E$5</f>
        <v>0</v>
      </c>
      <c r="R31" s="937">
        <f>SUMIF('9.Инвестиционна програма'!$B$36:$B$46,$B31,'9.Инвестиционна програма'!K$36:K$46)*$E$5</f>
        <v>0</v>
      </c>
      <c r="S31" s="931">
        <f>'11.2. Нови активи отч.год.'!S32</f>
        <v>0</v>
      </c>
      <c r="T31" s="932">
        <f>SUMIF('9.Инвестиционна програма'!$B$48:$B$55,$B31,'9.Инвестиционна програма'!F$48:F$55)*$E$5</f>
        <v>0</v>
      </c>
      <c r="U31" s="932">
        <f>SUMIF('9.Инвестиционна програма'!$B$48:$B$55,$B31,'9.Инвестиционна програма'!G$48:G$55)*$E$5</f>
        <v>0</v>
      </c>
      <c r="V31" s="932">
        <f>SUMIF('9.Инвестиционна програма'!$B$48:$B$55,$B31,'9.Инвестиционна програма'!H$48:H$55)*$E$5</f>
        <v>0</v>
      </c>
      <c r="W31" s="932">
        <f>SUMIF('9.Инвестиционна програма'!$B$48:$B$55,$B31,'9.Инвестиционна програма'!I$48:I$55)*$E$5</f>
        <v>0</v>
      </c>
      <c r="X31" s="932">
        <f>SUMIF('9.Инвестиционна програма'!$B$48:$B$55,$B31,'9.Инвестиционна програма'!J$48:J$55)*$E$5</f>
        <v>0</v>
      </c>
      <c r="Y31" s="932">
        <f>SUMIF('9.Инвестиционна програма'!$B$48:$B$55,$B31,'9.Инвестиционна програма'!K$48:K$55)*$E$5</f>
        <v>0</v>
      </c>
      <c r="Z31" s="931">
        <f>'11.2. Нови активи отч.год.'!Z32</f>
        <v>0</v>
      </c>
      <c r="AA31" s="935">
        <f>(SUMIF('9.Инвестиционна програма'!$B$57:$B$58,$B31,'9.Инвестиционна програма'!F$57:F$58)+SUMIF('9.Инвестиционна програма'!$B$60:$B$67,$B31,'9.Инвестиционна програма'!F$60:F$67))*$E$5</f>
        <v>0</v>
      </c>
      <c r="AB31" s="932">
        <f>(SUMIF('9.Инвестиционна програма'!$B$57:$B$58,$B31,'9.Инвестиционна програма'!G$57:G$58)+SUMIF('9.Инвестиционна програма'!$B$60:$B$67,$B31,'9.Инвестиционна програма'!G$60:G$67))*$E$5</f>
        <v>0</v>
      </c>
      <c r="AC31" s="932">
        <f>(SUMIF('9.Инвестиционна програма'!$B$57:$B$58,$B31,'9.Инвестиционна програма'!H$57:H$58)+SUMIF('9.Инвестиционна програма'!$B$60:$B$67,$B31,'9.Инвестиционна програма'!H$60:H$67))*$E$5</f>
        <v>0</v>
      </c>
      <c r="AD31" s="932">
        <f>(SUMIF('9.Инвестиционна програма'!$B$57:$B$58,$B31,'9.Инвестиционна програма'!I$57:I$58)+SUMIF('9.Инвестиционна програма'!$B$60:$B$67,$B31,'9.Инвестиционна програма'!I$60:I$67))*$E$5</f>
        <v>0</v>
      </c>
      <c r="AE31" s="932">
        <f>(SUMIF('9.Инвестиционна програма'!$B$57:$B$58,$B31,'9.Инвестиционна програма'!J$57:J$58)+SUMIF('9.Инвестиционна програма'!$B$60:$B$67,$B31,'9.Инвестиционна програма'!J$60:J$67))*$E$5</f>
        <v>0</v>
      </c>
      <c r="AF31" s="938">
        <f>(SUMIF('9.Инвестиционна програма'!$B$57:$B$58,$B31,'9.Инвестиционна програма'!K$57:K$58)+SUMIF('9.Инвестиционна програма'!$B$60:$B$67,$B31,'9.Инвестиционна програма'!K$60:K$67))*$E$5</f>
        <v>0</v>
      </c>
      <c r="AH31" s="564"/>
    </row>
    <row r="32" spans="1:34">
      <c r="A32" s="277"/>
      <c r="B32" s="1732">
        <v>2040102</v>
      </c>
      <c r="C32" s="1733">
        <v>0.04</v>
      </c>
      <c r="D32" s="1737" t="s">
        <v>604</v>
      </c>
      <c r="E32" s="930">
        <f>'11.2. Нови активи отч.год.'!E33</f>
        <v>0</v>
      </c>
      <c r="F32" s="886">
        <f>SUMIF('9.Инвестиционна програма'!$B$11:$B$34,$B32,'9.Инвестиционна програма'!F$11:F$34)*$E$5</f>
        <v>0</v>
      </c>
      <c r="G32" s="887">
        <f>SUMIF('9.Инвестиционна програма'!$B$11:$B$34,$B32,'9.Инвестиционна програма'!G$11:G$34)*$E$5</f>
        <v>0</v>
      </c>
      <c r="H32" s="887">
        <f>SUMIF('9.Инвестиционна програма'!$B$11:$B$34,$B32,'9.Инвестиционна програма'!H$11:H$34)*$E$5</f>
        <v>0</v>
      </c>
      <c r="I32" s="887">
        <f>SUMIF('9.Инвестиционна програма'!$B$11:$B$34,$B32,'9.Инвестиционна програма'!I$11:I$34)*$E$5</f>
        <v>0</v>
      </c>
      <c r="J32" s="887">
        <f>SUMIF('9.Инвестиционна програма'!$B$11:$B$34,$B32,'9.Инвестиционна програма'!J$11:J$34)*$E$5</f>
        <v>0</v>
      </c>
      <c r="K32" s="888">
        <f>SUMIF('9.Инвестиционна програма'!$B$11:$B$34,$B32,'9.Инвестиционна програма'!K$11:K$34)*$E$5</f>
        <v>0</v>
      </c>
      <c r="L32" s="1442">
        <f>'11.2. Нови активи отч.год.'!L33</f>
        <v>0</v>
      </c>
      <c r="M32" s="935">
        <f>SUMIF('9.Инвестиционна програма'!$B$36:$B$46,$B32,'9.Инвестиционна програма'!F$36:F$46)*$E$5</f>
        <v>0</v>
      </c>
      <c r="N32" s="936">
        <f>SUMIF('9.Инвестиционна програма'!$B$36:$B$46,$B32,'9.Инвестиционна програма'!G$36:G$46)*$E$5</f>
        <v>0</v>
      </c>
      <c r="O32" s="936">
        <f>SUMIF('9.Инвестиционна програма'!$B$36:$B$46,$B32,'9.Инвестиционна програма'!H$36:H$46)*$E$5</f>
        <v>0</v>
      </c>
      <c r="P32" s="936">
        <f>SUMIF('9.Инвестиционна програма'!$B$36:$B$46,$B32,'9.Инвестиционна програма'!I$36:I$46)*$E$5</f>
        <v>0</v>
      </c>
      <c r="Q32" s="936">
        <f>SUMIF('9.Инвестиционна програма'!$B$36:$B$46,$B32,'9.Инвестиционна програма'!J$36:J$46)*$E$5</f>
        <v>0</v>
      </c>
      <c r="R32" s="937">
        <f>SUMIF('9.Инвестиционна програма'!$B$36:$B$46,$B32,'9.Инвестиционна програма'!K$36:K$46)*$E$5</f>
        <v>0</v>
      </c>
      <c r="S32" s="931">
        <f>'11.2. Нови активи отч.год.'!S33</f>
        <v>0</v>
      </c>
      <c r="T32" s="932">
        <f>SUMIF('9.Инвестиционна програма'!$B$48:$B$55,$B32,'9.Инвестиционна програма'!F$48:F$55)*$E$5</f>
        <v>0</v>
      </c>
      <c r="U32" s="932">
        <f>SUMIF('9.Инвестиционна програма'!$B$48:$B$55,$B32,'9.Инвестиционна програма'!G$48:G$55)*$E$5</f>
        <v>0</v>
      </c>
      <c r="V32" s="932">
        <f>SUMIF('9.Инвестиционна програма'!$B$48:$B$55,$B32,'9.Инвестиционна програма'!H$48:H$55)*$E$5</f>
        <v>0</v>
      </c>
      <c r="W32" s="932">
        <f>SUMIF('9.Инвестиционна програма'!$B$48:$B$55,$B32,'9.Инвестиционна програма'!I$48:I$55)*$E$5</f>
        <v>0</v>
      </c>
      <c r="X32" s="932">
        <f>SUMIF('9.Инвестиционна програма'!$B$48:$B$55,$B32,'9.Инвестиционна програма'!J$48:J$55)*$E$5</f>
        <v>0</v>
      </c>
      <c r="Y32" s="932">
        <f>SUMIF('9.Инвестиционна програма'!$B$48:$B$55,$B32,'9.Инвестиционна програма'!K$48:K$55)*$E$5</f>
        <v>0</v>
      </c>
      <c r="Z32" s="931">
        <f>'11.2. Нови активи отч.год.'!Z33</f>
        <v>0</v>
      </c>
      <c r="AA32" s="935">
        <f>(SUMIF('9.Инвестиционна програма'!$B$57:$B$58,$B32,'9.Инвестиционна програма'!F$57:F$58)+SUMIF('9.Инвестиционна програма'!$B$60:$B$67,$B32,'9.Инвестиционна програма'!F$60:F$67))*$E$5</f>
        <v>0</v>
      </c>
      <c r="AB32" s="932">
        <f>(SUMIF('9.Инвестиционна програма'!$B$57:$B$58,$B32,'9.Инвестиционна програма'!G$57:G$58)+SUMIF('9.Инвестиционна програма'!$B$60:$B$67,$B32,'9.Инвестиционна програма'!G$60:G$67))*$E$5</f>
        <v>0</v>
      </c>
      <c r="AC32" s="932">
        <f>(SUMIF('9.Инвестиционна програма'!$B$57:$B$58,$B32,'9.Инвестиционна програма'!H$57:H$58)+SUMIF('9.Инвестиционна програма'!$B$60:$B$67,$B32,'9.Инвестиционна програма'!H$60:H$67))*$E$5</f>
        <v>0</v>
      </c>
      <c r="AD32" s="932">
        <f>(SUMIF('9.Инвестиционна програма'!$B$57:$B$58,$B32,'9.Инвестиционна програма'!I$57:I$58)+SUMIF('9.Инвестиционна програма'!$B$60:$B$67,$B32,'9.Инвестиционна програма'!I$60:I$67))*$E$5</f>
        <v>0</v>
      </c>
      <c r="AE32" s="932">
        <f>(SUMIF('9.Инвестиционна програма'!$B$57:$B$58,$B32,'9.Инвестиционна програма'!J$57:J$58)+SUMIF('9.Инвестиционна програма'!$B$60:$B$67,$B32,'9.Инвестиционна програма'!J$60:J$67))*$E$5</f>
        <v>0</v>
      </c>
      <c r="AF32" s="938">
        <f>(SUMIF('9.Инвестиционна програма'!$B$57:$B$58,$B32,'9.Инвестиционна програма'!K$57:K$58)+SUMIF('9.Инвестиционна програма'!$B$60:$B$67,$B32,'9.Инвестиционна програма'!K$60:K$67))*$E$5</f>
        <v>0</v>
      </c>
      <c r="AH32" s="564"/>
    </row>
    <row r="33" spans="1:34">
      <c r="A33" s="277"/>
      <c r="B33" s="1552">
        <v>20402</v>
      </c>
      <c r="C33" s="1557"/>
      <c r="D33" s="1558" t="s">
        <v>605</v>
      </c>
      <c r="E33" s="946">
        <f>SUM(E34:E41)</f>
        <v>0</v>
      </c>
      <c r="F33" s="947">
        <f t="shared" ref="F33:AF33" si="9">SUM(F34:F41)</f>
        <v>1983</v>
      </c>
      <c r="G33" s="948">
        <f t="shared" si="9"/>
        <v>1133</v>
      </c>
      <c r="H33" s="948">
        <f t="shared" si="9"/>
        <v>1442</v>
      </c>
      <c r="I33" s="948">
        <f t="shared" si="9"/>
        <v>1419</v>
      </c>
      <c r="J33" s="948">
        <f t="shared" si="9"/>
        <v>1605</v>
      </c>
      <c r="K33" s="949">
        <f t="shared" si="9"/>
        <v>1400</v>
      </c>
      <c r="L33" s="1987">
        <f t="shared" si="9"/>
        <v>0</v>
      </c>
      <c r="M33" s="947">
        <f t="shared" si="9"/>
        <v>84</v>
      </c>
      <c r="N33" s="948">
        <f t="shared" si="9"/>
        <v>0</v>
      </c>
      <c r="O33" s="948">
        <f t="shared" si="9"/>
        <v>155</v>
      </c>
      <c r="P33" s="948">
        <f t="shared" si="9"/>
        <v>510</v>
      </c>
      <c r="Q33" s="948">
        <f t="shared" si="9"/>
        <v>775</v>
      </c>
      <c r="R33" s="949">
        <f t="shared" si="9"/>
        <v>775</v>
      </c>
      <c r="S33" s="950">
        <f t="shared" si="9"/>
        <v>0</v>
      </c>
      <c r="T33" s="951">
        <f t="shared" si="9"/>
        <v>120</v>
      </c>
      <c r="U33" s="948">
        <f t="shared" si="9"/>
        <v>34</v>
      </c>
      <c r="V33" s="948">
        <f t="shared" si="9"/>
        <v>118</v>
      </c>
      <c r="W33" s="948">
        <f t="shared" si="9"/>
        <v>70</v>
      </c>
      <c r="X33" s="948">
        <f t="shared" si="9"/>
        <v>35</v>
      </c>
      <c r="Y33" s="949">
        <f t="shared" si="9"/>
        <v>20</v>
      </c>
      <c r="Z33" s="950">
        <f t="shared" si="9"/>
        <v>0</v>
      </c>
      <c r="AA33" s="951">
        <f t="shared" si="9"/>
        <v>0</v>
      </c>
      <c r="AB33" s="948">
        <f t="shared" si="9"/>
        <v>0</v>
      </c>
      <c r="AC33" s="948">
        <f t="shared" si="9"/>
        <v>0</v>
      </c>
      <c r="AD33" s="948">
        <f t="shared" si="9"/>
        <v>0</v>
      </c>
      <c r="AE33" s="948">
        <f t="shared" si="9"/>
        <v>0</v>
      </c>
      <c r="AF33" s="949">
        <f t="shared" si="9"/>
        <v>0</v>
      </c>
      <c r="AH33" s="564"/>
    </row>
    <row r="34" spans="1:34">
      <c r="A34" s="277"/>
      <c r="B34" s="1552">
        <v>2040201</v>
      </c>
      <c r="C34" s="1553">
        <v>0.02</v>
      </c>
      <c r="D34" s="1734" t="s">
        <v>1007</v>
      </c>
      <c r="E34" s="930">
        <f>'11.2. Нови активи отч.год.'!E35</f>
        <v>0</v>
      </c>
      <c r="F34" s="886">
        <f>SUMIF('9.Инвестиционна програма'!$B$11:$B$34,$B34,'9.Инвестиционна програма'!F$11:F$34)*$E$5</f>
        <v>0</v>
      </c>
      <c r="G34" s="887">
        <f>SUMIF('9.Инвестиционна програма'!$B$11:$B$34,$B34,'9.Инвестиционна програма'!G$11:G$34)*$E$5</f>
        <v>14</v>
      </c>
      <c r="H34" s="887">
        <f>SUMIF('9.Инвестиционна програма'!$B$11:$B$34,$B34,'9.Инвестиционна програма'!H$11:H$34)*$E$5</f>
        <v>0</v>
      </c>
      <c r="I34" s="887">
        <f>SUMIF('9.Инвестиционна програма'!$B$11:$B$34,$B34,'9.Инвестиционна програма'!I$11:I$34)*$E$5</f>
        <v>0</v>
      </c>
      <c r="J34" s="887">
        <f>SUMIF('9.Инвестиционна програма'!$B$11:$B$34,$B34,'9.Инвестиционна програма'!J$11:J$34)*$E$5</f>
        <v>0</v>
      </c>
      <c r="K34" s="888">
        <f>SUMIF('9.Инвестиционна програма'!$B$11:$B$34,$B34,'9.Инвестиционна програма'!K$11:K$34)*$E$5</f>
        <v>0</v>
      </c>
      <c r="L34" s="1442">
        <f>'11.2. Нови активи отч.год.'!L35</f>
        <v>0</v>
      </c>
      <c r="M34" s="935">
        <f>SUMIF('9.Инвестиционна програма'!$B$36:$B$46,$B34,'9.Инвестиционна програма'!F$36:F$46)*$E$5</f>
        <v>0</v>
      </c>
      <c r="N34" s="936">
        <f>SUMIF('9.Инвестиционна програма'!$B$36:$B$46,$B34,'9.Инвестиционна програма'!G$36:G$46)*$E$5</f>
        <v>0</v>
      </c>
      <c r="O34" s="936">
        <f>SUMIF('9.Инвестиционна програма'!$B$36:$B$46,$B34,'9.Инвестиционна програма'!H$36:H$46)*$E$5</f>
        <v>0</v>
      </c>
      <c r="P34" s="936">
        <f>SUMIF('9.Инвестиционна програма'!$B$36:$B$46,$B34,'9.Инвестиционна програма'!I$36:I$46)*$E$5</f>
        <v>0</v>
      </c>
      <c r="Q34" s="936">
        <f>SUMIF('9.Инвестиционна програма'!$B$36:$B$46,$B34,'9.Инвестиционна програма'!J$36:J$46)*$E$5</f>
        <v>0</v>
      </c>
      <c r="R34" s="937">
        <f>SUMIF('9.Инвестиционна програма'!$B$36:$B$46,$B34,'9.Инвестиционна програма'!K$36:K$46)*$E$5</f>
        <v>0</v>
      </c>
      <c r="S34" s="931">
        <f>'11.2. Нови активи отч.год.'!S35</f>
        <v>0</v>
      </c>
      <c r="T34" s="932">
        <f>SUMIF('9.Инвестиционна програма'!$B$48:$B$55,$B34,'9.Инвестиционна програма'!F$48:F$55)*$E$5</f>
        <v>0</v>
      </c>
      <c r="U34" s="932">
        <f>SUMIF('9.Инвестиционна програма'!$B$48:$B$55,$B34,'9.Инвестиционна програма'!G$48:G$55)*$E$5</f>
        <v>0</v>
      </c>
      <c r="V34" s="932">
        <f>SUMIF('9.Инвестиционна програма'!$B$48:$B$55,$B34,'9.Инвестиционна програма'!H$48:H$55)*$E$5</f>
        <v>0</v>
      </c>
      <c r="W34" s="932">
        <f>SUMIF('9.Инвестиционна програма'!$B$48:$B$55,$B34,'9.Инвестиционна програма'!I$48:I$55)*$E$5</f>
        <v>0</v>
      </c>
      <c r="X34" s="932">
        <f>SUMIF('9.Инвестиционна програма'!$B$48:$B$55,$B34,'9.Инвестиционна програма'!J$48:J$55)*$E$5</f>
        <v>0</v>
      </c>
      <c r="Y34" s="932">
        <f>SUMIF('9.Инвестиционна програма'!$B$48:$B$55,$B34,'9.Инвестиционна програма'!K$48:K$55)*$E$5</f>
        <v>0</v>
      </c>
      <c r="Z34" s="931">
        <f>'11.2. Нови активи отч.год.'!Z35</f>
        <v>0</v>
      </c>
      <c r="AA34" s="935">
        <f>(SUMIF('9.Инвестиционна програма'!$B$57:$B$58,$B34,'9.Инвестиционна програма'!F$57:F$58)+SUMIF('9.Инвестиционна програма'!$B$60:$B$67,$B34,'9.Инвестиционна програма'!F$60:F$67))*$E$5</f>
        <v>0</v>
      </c>
      <c r="AB34" s="932">
        <f>(SUMIF('9.Инвестиционна програма'!$B$57:$B$58,$B34,'9.Инвестиционна програма'!G$57:G$58)+SUMIF('9.Инвестиционна програма'!$B$60:$B$67,$B34,'9.Инвестиционна програма'!G$60:G$67))*$E$5</f>
        <v>0</v>
      </c>
      <c r="AC34" s="932">
        <f>(SUMIF('9.Инвестиционна програма'!$B$57:$B$58,$B34,'9.Инвестиционна програма'!H$57:H$58)+SUMIF('9.Инвестиционна програма'!$B$60:$B$67,$B34,'9.Инвестиционна програма'!H$60:H$67))*$E$5</f>
        <v>0</v>
      </c>
      <c r="AD34" s="932">
        <f>(SUMIF('9.Инвестиционна програма'!$B$57:$B$58,$B34,'9.Инвестиционна програма'!I$57:I$58)+SUMIF('9.Инвестиционна програма'!$B$60:$B$67,$B34,'9.Инвестиционна програма'!I$60:I$67))*$E$5</f>
        <v>0</v>
      </c>
      <c r="AE34" s="932">
        <f>(SUMIF('9.Инвестиционна програма'!$B$57:$B$58,$B34,'9.Инвестиционна програма'!J$57:J$58)+SUMIF('9.Инвестиционна програма'!$B$60:$B$67,$B34,'9.Инвестиционна програма'!J$60:J$67))*$E$5</f>
        <v>0</v>
      </c>
      <c r="AF34" s="938">
        <f>(SUMIF('9.Инвестиционна програма'!$B$57:$B$58,$B34,'9.Инвестиционна програма'!K$57:K$58)+SUMIF('9.Инвестиционна програма'!$B$60:$B$67,$B34,'9.Инвестиционна програма'!K$60:K$67))*$E$5</f>
        <v>0</v>
      </c>
      <c r="AH34" s="564"/>
    </row>
    <row r="35" spans="1:34">
      <c r="A35" s="277"/>
      <c r="B35" s="1552">
        <v>2040202</v>
      </c>
      <c r="C35" s="1553">
        <v>0.02</v>
      </c>
      <c r="D35" s="1734" t="s">
        <v>1008</v>
      </c>
      <c r="E35" s="930">
        <f>'11.2. Нови активи отч.год.'!E36</f>
        <v>0</v>
      </c>
      <c r="F35" s="886">
        <f>SUMIF('9.Инвестиционна програма'!$B$11:$B$34,$B35,'9.Инвестиционна програма'!F$11:F$34)*$E$5</f>
        <v>0</v>
      </c>
      <c r="G35" s="887">
        <f>SUMIF('9.Инвестиционна програма'!$B$11:$B$34,$B35,'9.Инвестиционна програма'!G$11:G$34)*$E$5</f>
        <v>0</v>
      </c>
      <c r="H35" s="887">
        <f>SUMIF('9.Инвестиционна програма'!$B$11:$B$34,$B35,'9.Инвестиционна програма'!H$11:H$34)*$E$5</f>
        <v>2</v>
      </c>
      <c r="I35" s="887">
        <f>SUMIF('9.Инвестиционна програма'!$B$11:$B$34,$B35,'9.Инвестиционна програма'!I$11:I$34)*$E$5</f>
        <v>30</v>
      </c>
      <c r="J35" s="887">
        <f>SUMIF('9.Инвестиционна програма'!$B$11:$B$34,$B35,'9.Инвестиционна програма'!J$11:J$34)*$E$5</f>
        <v>30</v>
      </c>
      <c r="K35" s="888">
        <f>SUMIF('9.Инвестиционна програма'!$B$11:$B$34,$B35,'9.Инвестиционна програма'!K$11:K$34)*$E$5</f>
        <v>30</v>
      </c>
      <c r="L35" s="1442">
        <f>'11.2. Нови активи отч.год.'!L36</f>
        <v>0</v>
      </c>
      <c r="M35" s="935">
        <f>SUMIF('9.Инвестиционна програма'!$B$36:$B$46,$B35,'9.Инвестиционна програма'!F$36:F$46)*$E$5</f>
        <v>0</v>
      </c>
      <c r="N35" s="936">
        <f>SUMIF('9.Инвестиционна програма'!$B$36:$B$46,$B35,'9.Инвестиционна програма'!G$36:G$46)*$E$5</f>
        <v>0</v>
      </c>
      <c r="O35" s="936">
        <f>SUMIF('9.Инвестиционна програма'!$B$36:$B$46,$B35,'9.Инвестиционна програма'!H$36:H$46)*$E$5</f>
        <v>0</v>
      </c>
      <c r="P35" s="936">
        <f>SUMIF('9.Инвестиционна програма'!$B$36:$B$46,$B35,'9.Инвестиционна програма'!I$36:I$46)*$E$5</f>
        <v>0</v>
      </c>
      <c r="Q35" s="936">
        <f>SUMIF('9.Инвестиционна програма'!$B$36:$B$46,$B35,'9.Инвестиционна програма'!J$36:J$46)*$E$5</f>
        <v>0</v>
      </c>
      <c r="R35" s="937">
        <f>SUMIF('9.Инвестиционна програма'!$B$36:$B$46,$B35,'9.Инвестиционна програма'!K$36:K$46)*$E$5</f>
        <v>0</v>
      </c>
      <c r="S35" s="931">
        <f>'11.2. Нови активи отч.год.'!S36</f>
        <v>0</v>
      </c>
      <c r="T35" s="932">
        <f>SUMIF('9.Инвестиционна програма'!$B$48:$B$55,$B35,'9.Инвестиционна програма'!F$48:F$55)*$E$5</f>
        <v>0</v>
      </c>
      <c r="U35" s="932">
        <f>SUMIF('9.Инвестиционна програма'!$B$48:$B$55,$B35,'9.Инвестиционна програма'!G$48:G$55)*$E$5</f>
        <v>0</v>
      </c>
      <c r="V35" s="932">
        <f>SUMIF('9.Инвестиционна програма'!$B$48:$B$55,$B35,'9.Инвестиционна програма'!H$48:H$55)*$E$5</f>
        <v>0</v>
      </c>
      <c r="W35" s="932">
        <f>SUMIF('9.Инвестиционна програма'!$B$48:$B$55,$B35,'9.Инвестиционна програма'!I$48:I$55)*$E$5</f>
        <v>0</v>
      </c>
      <c r="X35" s="932">
        <f>SUMIF('9.Инвестиционна програма'!$B$48:$B$55,$B35,'9.Инвестиционна програма'!J$48:J$55)*$E$5</f>
        <v>0</v>
      </c>
      <c r="Y35" s="932">
        <f>SUMIF('9.Инвестиционна програма'!$B$48:$B$55,$B35,'9.Инвестиционна програма'!K$48:K$55)*$E$5</f>
        <v>0</v>
      </c>
      <c r="Z35" s="931">
        <f>'11.2. Нови активи отч.год.'!Z36</f>
        <v>0</v>
      </c>
      <c r="AA35" s="935">
        <f>(SUMIF('9.Инвестиционна програма'!$B$57:$B$58,$B35,'9.Инвестиционна програма'!F$57:F$58)+SUMIF('9.Инвестиционна програма'!$B$60:$B$67,$B35,'9.Инвестиционна програма'!F$60:F$67))*$E$5</f>
        <v>0</v>
      </c>
      <c r="AB35" s="932">
        <f>(SUMIF('9.Инвестиционна програма'!$B$57:$B$58,$B35,'9.Инвестиционна програма'!G$57:G$58)+SUMIF('9.Инвестиционна програма'!$B$60:$B$67,$B35,'9.Инвестиционна програма'!G$60:G$67))*$E$5</f>
        <v>0</v>
      </c>
      <c r="AC35" s="932">
        <f>(SUMIF('9.Инвестиционна програма'!$B$57:$B$58,$B35,'9.Инвестиционна програма'!H$57:H$58)+SUMIF('9.Инвестиционна програма'!$B$60:$B$67,$B35,'9.Инвестиционна програма'!H$60:H$67))*$E$5</f>
        <v>0</v>
      </c>
      <c r="AD35" s="932">
        <f>(SUMIF('9.Инвестиционна програма'!$B$57:$B$58,$B35,'9.Инвестиционна програма'!I$57:I$58)+SUMIF('9.Инвестиционна програма'!$B$60:$B$67,$B35,'9.Инвестиционна програма'!I$60:I$67))*$E$5</f>
        <v>0</v>
      </c>
      <c r="AE35" s="932">
        <f>(SUMIF('9.Инвестиционна програма'!$B$57:$B$58,$B35,'9.Инвестиционна програма'!J$57:J$58)+SUMIF('9.Инвестиционна програма'!$B$60:$B$67,$B35,'9.Инвестиционна програма'!J$60:J$67))*$E$5</f>
        <v>0</v>
      </c>
      <c r="AF35" s="938">
        <f>(SUMIF('9.Инвестиционна програма'!$B$57:$B$58,$B35,'9.Инвестиционна програма'!K$57:K$58)+SUMIF('9.Инвестиционна програма'!$B$60:$B$67,$B35,'9.Инвестиционна програма'!K$60:K$67))*$E$5</f>
        <v>0</v>
      </c>
      <c r="AH35" s="564"/>
    </row>
    <row r="36" spans="1:34">
      <c r="A36" s="277"/>
      <c r="B36" s="1552">
        <v>2040203</v>
      </c>
      <c r="C36" s="1553">
        <v>0.02</v>
      </c>
      <c r="D36" s="1734" t="s">
        <v>590</v>
      </c>
      <c r="E36" s="930">
        <f>'11.2. Нови активи отч.год.'!E37</f>
        <v>0</v>
      </c>
      <c r="F36" s="886">
        <f>SUMIF('9.Инвестиционна програма'!$B$11:$B$34,$B36,'9.Инвестиционна програма'!F$11:F$34)*$E$5</f>
        <v>0</v>
      </c>
      <c r="G36" s="887">
        <f>SUMIF('9.Инвестиционна програма'!$B$11:$B$34,$B36,'9.Инвестиционна програма'!G$11:G$34)*$E$5</f>
        <v>0</v>
      </c>
      <c r="H36" s="887">
        <f>SUMIF('9.Инвестиционна програма'!$B$11:$B$34,$B36,'9.Инвестиционна програма'!H$11:H$34)*$E$5</f>
        <v>0</v>
      </c>
      <c r="I36" s="887">
        <f>SUMIF('9.Инвестиционна програма'!$B$11:$B$34,$B36,'9.Инвестиционна програма'!I$11:I$34)*$E$5</f>
        <v>0</v>
      </c>
      <c r="J36" s="887">
        <f>SUMIF('9.Инвестиционна програма'!$B$11:$B$34,$B36,'9.Инвестиционна програма'!J$11:J$34)*$E$5</f>
        <v>0</v>
      </c>
      <c r="K36" s="888">
        <f>SUMIF('9.Инвестиционна програма'!$B$11:$B$34,$B36,'9.Инвестиционна програма'!K$11:K$34)*$E$5</f>
        <v>0</v>
      </c>
      <c r="L36" s="1442">
        <f>'11.2. Нови активи отч.год.'!L37</f>
        <v>0</v>
      </c>
      <c r="M36" s="935">
        <f>SUMIF('9.Инвестиционна програма'!$B$36:$B$46,$B36,'9.Инвестиционна програма'!F$36:F$46)*$E$5</f>
        <v>0</v>
      </c>
      <c r="N36" s="936">
        <f>SUMIF('9.Инвестиционна програма'!$B$36:$B$46,$B36,'9.Инвестиционна програма'!G$36:G$46)*$E$5</f>
        <v>0</v>
      </c>
      <c r="O36" s="936">
        <f>SUMIF('9.Инвестиционна програма'!$B$36:$B$46,$B36,'9.Инвестиционна програма'!H$36:H$46)*$E$5</f>
        <v>0</v>
      </c>
      <c r="P36" s="936">
        <f>SUMIF('9.Инвестиционна програма'!$B$36:$B$46,$B36,'9.Инвестиционна програма'!I$36:I$46)*$E$5</f>
        <v>0</v>
      </c>
      <c r="Q36" s="936">
        <f>SUMIF('9.Инвестиционна програма'!$B$36:$B$46,$B36,'9.Инвестиционна програма'!J$36:J$46)*$E$5</f>
        <v>0</v>
      </c>
      <c r="R36" s="937">
        <f>SUMIF('9.Инвестиционна програма'!$B$36:$B$46,$B36,'9.Инвестиционна програма'!K$36:K$46)*$E$5</f>
        <v>0</v>
      </c>
      <c r="S36" s="931">
        <f>'11.2. Нови активи отч.год.'!S37</f>
        <v>0</v>
      </c>
      <c r="T36" s="932">
        <f>SUMIF('9.Инвестиционна програма'!$B$48:$B$55,$B36,'9.Инвестиционна програма'!F$48:F$55)*$E$5</f>
        <v>0</v>
      </c>
      <c r="U36" s="932">
        <f>SUMIF('9.Инвестиционна програма'!$B$48:$B$55,$B36,'9.Инвестиционна програма'!G$48:G$55)*$E$5</f>
        <v>0</v>
      </c>
      <c r="V36" s="932">
        <f>SUMIF('9.Инвестиционна програма'!$B$48:$B$55,$B36,'9.Инвестиционна програма'!H$48:H$55)*$E$5</f>
        <v>0</v>
      </c>
      <c r="W36" s="932">
        <f>SUMIF('9.Инвестиционна програма'!$B$48:$B$55,$B36,'9.Инвестиционна програма'!I$48:I$55)*$E$5</f>
        <v>0</v>
      </c>
      <c r="X36" s="932">
        <f>SUMIF('9.Инвестиционна програма'!$B$48:$B$55,$B36,'9.Инвестиционна програма'!J$48:J$55)*$E$5</f>
        <v>0</v>
      </c>
      <c r="Y36" s="932">
        <f>SUMIF('9.Инвестиционна програма'!$B$48:$B$55,$B36,'9.Инвестиционна програма'!K$48:K$55)*$E$5</f>
        <v>0</v>
      </c>
      <c r="Z36" s="931">
        <f>'11.2. Нови активи отч.год.'!Z37</f>
        <v>0</v>
      </c>
      <c r="AA36" s="935">
        <f>(SUMIF('9.Инвестиционна програма'!$B$57:$B$58,$B36,'9.Инвестиционна програма'!F$57:F$58)+SUMIF('9.Инвестиционна програма'!$B$60:$B$67,$B36,'9.Инвестиционна програма'!F$60:F$67))*$E$5</f>
        <v>0</v>
      </c>
      <c r="AB36" s="932">
        <f>(SUMIF('9.Инвестиционна програма'!$B$57:$B$58,$B36,'9.Инвестиционна програма'!G$57:G$58)+SUMIF('9.Инвестиционна програма'!$B$60:$B$67,$B36,'9.Инвестиционна програма'!G$60:G$67))*$E$5</f>
        <v>0</v>
      </c>
      <c r="AC36" s="932">
        <f>(SUMIF('9.Инвестиционна програма'!$B$57:$B$58,$B36,'9.Инвестиционна програма'!H$57:H$58)+SUMIF('9.Инвестиционна програма'!$B$60:$B$67,$B36,'9.Инвестиционна програма'!H$60:H$67))*$E$5</f>
        <v>0</v>
      </c>
      <c r="AD36" s="932">
        <f>(SUMIF('9.Инвестиционна програма'!$B$57:$B$58,$B36,'9.Инвестиционна програма'!I$57:I$58)+SUMIF('9.Инвестиционна програма'!$B$60:$B$67,$B36,'9.Инвестиционна програма'!I$60:I$67))*$E$5</f>
        <v>0</v>
      </c>
      <c r="AE36" s="932">
        <f>(SUMIF('9.Инвестиционна програма'!$B$57:$B$58,$B36,'9.Инвестиционна програма'!J$57:J$58)+SUMIF('9.Инвестиционна програма'!$B$60:$B$67,$B36,'9.Инвестиционна програма'!J$60:J$67))*$E$5</f>
        <v>0</v>
      </c>
      <c r="AF36" s="938">
        <f>(SUMIF('9.Инвестиционна програма'!$B$57:$B$58,$B36,'9.Инвестиционна програма'!K$57:K$58)+SUMIF('9.Инвестиционна програма'!$B$60:$B$67,$B36,'9.Инвестиционна програма'!K$60:K$67))*$E$5</f>
        <v>0</v>
      </c>
      <c r="AH36" s="564"/>
    </row>
    <row r="37" spans="1:34">
      <c r="A37" s="277"/>
      <c r="B37" s="1552">
        <v>2040204</v>
      </c>
      <c r="C37" s="1553">
        <v>0.02</v>
      </c>
      <c r="D37" s="1737" t="s">
        <v>591</v>
      </c>
      <c r="E37" s="930">
        <f>'11.2. Нови активи отч.год.'!E38</f>
        <v>0</v>
      </c>
      <c r="F37" s="886">
        <f>SUMIF('9.Инвестиционна програма'!$B$11:$B$34,$B37,'9.Инвестиционна програма'!F$11:F$34)*$E$5</f>
        <v>0</v>
      </c>
      <c r="G37" s="887">
        <f>SUMIF('9.Инвестиционна програма'!$B$11:$B$34,$B37,'9.Инвестиционна програма'!G$11:G$34)*$E$5</f>
        <v>0</v>
      </c>
      <c r="H37" s="887">
        <f>SUMIF('9.Инвестиционна програма'!$B$11:$B$34,$B37,'9.Инвестиционна програма'!H$11:H$34)*$E$5</f>
        <v>0</v>
      </c>
      <c r="I37" s="887">
        <f>SUMIF('9.Инвестиционна програма'!$B$11:$B$34,$B37,'9.Инвестиционна програма'!I$11:I$34)*$E$5</f>
        <v>20</v>
      </c>
      <c r="J37" s="887">
        <f>SUMIF('9.Инвестиционна програма'!$B$11:$B$34,$B37,'9.Инвестиционна програма'!J$11:J$34)*$E$5</f>
        <v>20</v>
      </c>
      <c r="K37" s="888">
        <f>SUMIF('9.Инвестиционна програма'!$B$11:$B$34,$B37,'9.Инвестиционна програма'!K$11:K$34)*$E$5</f>
        <v>20</v>
      </c>
      <c r="L37" s="1442">
        <f>'11.2. Нови активи отч.год.'!L38</f>
        <v>0</v>
      </c>
      <c r="M37" s="935">
        <f>SUMIF('9.Инвестиционна програма'!$B$36:$B$46,$B37,'9.Инвестиционна програма'!F$36:F$46)*$E$5</f>
        <v>0</v>
      </c>
      <c r="N37" s="936">
        <f>SUMIF('9.Инвестиционна програма'!$B$36:$B$46,$B37,'9.Инвестиционна програма'!G$36:G$46)*$E$5</f>
        <v>0</v>
      </c>
      <c r="O37" s="936">
        <f>SUMIF('9.Инвестиционна програма'!$B$36:$B$46,$B37,'9.Инвестиционна програма'!H$36:H$46)*$E$5</f>
        <v>0</v>
      </c>
      <c r="P37" s="936">
        <f>SUMIF('9.Инвестиционна програма'!$B$36:$B$46,$B37,'9.Инвестиционна програма'!I$36:I$46)*$E$5</f>
        <v>0</v>
      </c>
      <c r="Q37" s="936">
        <f>SUMIF('9.Инвестиционна програма'!$B$36:$B$46,$B37,'9.Инвестиционна програма'!J$36:J$46)*$E$5</f>
        <v>0</v>
      </c>
      <c r="R37" s="937">
        <f>SUMIF('9.Инвестиционна програма'!$B$36:$B$46,$B37,'9.Инвестиционна програма'!K$36:K$46)*$E$5</f>
        <v>0</v>
      </c>
      <c r="S37" s="931">
        <f>'11.2. Нови активи отч.год.'!S38</f>
        <v>0</v>
      </c>
      <c r="T37" s="932">
        <f>SUMIF('9.Инвестиционна програма'!$B$48:$B$55,$B37,'9.Инвестиционна програма'!F$48:F$55)*$E$5</f>
        <v>0</v>
      </c>
      <c r="U37" s="932">
        <f>SUMIF('9.Инвестиционна програма'!$B$48:$B$55,$B37,'9.Инвестиционна програма'!G$48:G$55)*$E$5</f>
        <v>0</v>
      </c>
      <c r="V37" s="932">
        <f>SUMIF('9.Инвестиционна програма'!$B$48:$B$55,$B37,'9.Инвестиционна програма'!H$48:H$55)*$E$5</f>
        <v>0</v>
      </c>
      <c r="W37" s="932">
        <f>SUMIF('9.Инвестиционна програма'!$B$48:$B$55,$B37,'9.Инвестиционна програма'!I$48:I$55)*$E$5</f>
        <v>0</v>
      </c>
      <c r="X37" s="932">
        <f>SUMIF('9.Инвестиционна програма'!$B$48:$B$55,$B37,'9.Инвестиционна програма'!J$48:J$55)*$E$5</f>
        <v>0</v>
      </c>
      <c r="Y37" s="932">
        <f>SUMIF('9.Инвестиционна програма'!$B$48:$B$55,$B37,'9.Инвестиционна програма'!K$48:K$55)*$E$5</f>
        <v>0</v>
      </c>
      <c r="Z37" s="931">
        <f>'11.2. Нови активи отч.год.'!Z38</f>
        <v>0</v>
      </c>
      <c r="AA37" s="935">
        <f>(SUMIF('9.Инвестиционна програма'!$B$57:$B$58,$B37,'9.Инвестиционна програма'!F$57:F$58)+SUMIF('9.Инвестиционна програма'!$B$60:$B$67,$B37,'9.Инвестиционна програма'!F$60:F$67))*$E$5</f>
        <v>0</v>
      </c>
      <c r="AB37" s="932">
        <f>(SUMIF('9.Инвестиционна програма'!$B$57:$B$58,$B37,'9.Инвестиционна програма'!G$57:G$58)+SUMIF('9.Инвестиционна програма'!$B$60:$B$67,$B37,'9.Инвестиционна програма'!G$60:G$67))*$E$5</f>
        <v>0</v>
      </c>
      <c r="AC37" s="932">
        <f>(SUMIF('9.Инвестиционна програма'!$B$57:$B$58,$B37,'9.Инвестиционна програма'!H$57:H$58)+SUMIF('9.Инвестиционна програма'!$B$60:$B$67,$B37,'9.Инвестиционна програма'!H$60:H$67))*$E$5</f>
        <v>0</v>
      </c>
      <c r="AD37" s="932">
        <f>(SUMIF('9.Инвестиционна програма'!$B$57:$B$58,$B37,'9.Инвестиционна програма'!I$57:I$58)+SUMIF('9.Инвестиционна програма'!$B$60:$B$67,$B37,'9.Инвестиционна програма'!I$60:I$67))*$E$5</f>
        <v>0</v>
      </c>
      <c r="AE37" s="932">
        <f>(SUMIF('9.Инвестиционна програма'!$B$57:$B$58,$B37,'9.Инвестиционна програма'!J$57:J$58)+SUMIF('9.Инвестиционна програма'!$B$60:$B$67,$B37,'9.Инвестиционна програма'!J$60:J$67))*$E$5</f>
        <v>0</v>
      </c>
      <c r="AF37" s="938">
        <f>(SUMIF('9.Инвестиционна програма'!$B$57:$B$58,$B37,'9.Инвестиционна програма'!K$57:K$58)+SUMIF('9.Инвестиционна програма'!$B$60:$B$67,$B37,'9.Инвестиционна програма'!K$60:K$67))*$E$5</f>
        <v>0</v>
      </c>
      <c r="AH37" s="564"/>
    </row>
    <row r="38" spans="1:34">
      <c r="A38" s="277"/>
      <c r="B38" s="1552">
        <v>2040205</v>
      </c>
      <c r="C38" s="1553">
        <v>0.02</v>
      </c>
      <c r="D38" s="1734" t="s">
        <v>592</v>
      </c>
      <c r="E38" s="930">
        <f>'11.2. Нови активи отч.год.'!E39</f>
        <v>0</v>
      </c>
      <c r="F38" s="886">
        <f>SUMIF('9.Инвестиционна програма'!$B$11:$B$34,$B38,'9.Инвестиционна програма'!F$11:F$34)*$E$5</f>
        <v>1210</v>
      </c>
      <c r="G38" s="887">
        <f>SUMIF('9.Инвестиционна програма'!$B$11:$B$34,$B38,'9.Инвестиционна програма'!G$11:G$34)*$E$5</f>
        <v>772</v>
      </c>
      <c r="H38" s="887">
        <f>SUMIF('9.Инвестиционна програма'!$B$11:$B$34,$B38,'9.Инвестиционна програма'!H$11:H$34)*$E$5</f>
        <v>1337</v>
      </c>
      <c r="I38" s="887">
        <f>SUMIF('9.Инвестиционна програма'!$B$11:$B$34,$B38,'9.Инвестиционна програма'!I$11:I$34)*$E$5</f>
        <v>1056</v>
      </c>
      <c r="J38" s="887">
        <f>SUMIF('9.Инвестиционна програма'!$B$11:$B$34,$B38,'9.Инвестиционна програма'!J$11:J$34)*$E$5</f>
        <v>1271</v>
      </c>
      <c r="K38" s="888">
        <f>SUMIF('9.Инвестиционна програма'!$B$11:$B$34,$B38,'9.Инвестиционна програма'!K$11:K$34)*$E$5</f>
        <v>1066</v>
      </c>
      <c r="L38" s="1442">
        <f>'11.2. Нови активи отч.год.'!L39</f>
        <v>0</v>
      </c>
      <c r="M38" s="935">
        <f>SUMIF('9.Инвестиционна програма'!$B$36:$B$46,$B38,'9.Инвестиционна програма'!F$36:F$46)*$E$5</f>
        <v>0</v>
      </c>
      <c r="N38" s="936">
        <f>SUMIF('9.Инвестиционна програма'!$B$36:$B$46,$B38,'9.Инвестиционна програма'!G$36:G$46)*$E$5</f>
        <v>0</v>
      </c>
      <c r="O38" s="936">
        <f>SUMIF('9.Инвестиционна програма'!$B$36:$B$46,$B38,'9.Инвестиционна програма'!H$36:H$46)*$E$5</f>
        <v>0</v>
      </c>
      <c r="P38" s="936">
        <f>SUMIF('9.Инвестиционна програма'!$B$36:$B$46,$B38,'9.Инвестиционна програма'!I$36:I$46)*$E$5</f>
        <v>0</v>
      </c>
      <c r="Q38" s="936">
        <f>SUMIF('9.Инвестиционна програма'!$B$36:$B$46,$B38,'9.Инвестиционна програма'!J$36:J$46)*$E$5</f>
        <v>0</v>
      </c>
      <c r="R38" s="937">
        <f>SUMIF('9.Инвестиционна програма'!$B$36:$B$46,$B38,'9.Инвестиционна програма'!K$36:K$46)*$E$5</f>
        <v>0</v>
      </c>
      <c r="S38" s="931">
        <f>'11.2. Нови активи отч.год.'!S39</f>
        <v>0</v>
      </c>
      <c r="T38" s="932">
        <f>SUMIF('9.Инвестиционна програма'!$B$48:$B$55,$B38,'9.Инвестиционна програма'!F$48:F$55)*$E$5</f>
        <v>0</v>
      </c>
      <c r="U38" s="932">
        <f>SUMIF('9.Инвестиционна програма'!$B$48:$B$55,$B38,'9.Инвестиционна програма'!G$48:G$55)*$E$5</f>
        <v>0</v>
      </c>
      <c r="V38" s="932">
        <f>SUMIF('9.Инвестиционна програма'!$B$48:$B$55,$B38,'9.Инвестиционна програма'!H$48:H$55)*$E$5</f>
        <v>0</v>
      </c>
      <c r="W38" s="932">
        <f>SUMIF('9.Инвестиционна програма'!$B$48:$B$55,$B38,'9.Инвестиционна програма'!I$48:I$55)*$E$5</f>
        <v>0</v>
      </c>
      <c r="X38" s="932">
        <f>SUMIF('9.Инвестиционна програма'!$B$48:$B$55,$B38,'9.Инвестиционна програма'!J$48:J$55)*$E$5</f>
        <v>0</v>
      </c>
      <c r="Y38" s="932">
        <f>SUMIF('9.Инвестиционна програма'!$B$48:$B$55,$B38,'9.Инвестиционна програма'!K$48:K$55)*$E$5</f>
        <v>0</v>
      </c>
      <c r="Z38" s="931">
        <f>'11.2. Нови активи отч.год.'!Z39</f>
        <v>0</v>
      </c>
      <c r="AA38" s="935">
        <f>(SUMIF('9.Инвестиционна програма'!$B$57:$B$58,$B38,'9.Инвестиционна програма'!F$57:F$58)+SUMIF('9.Инвестиционна програма'!$B$60:$B$67,$B38,'9.Инвестиционна програма'!F$60:F$67))*$E$5</f>
        <v>0</v>
      </c>
      <c r="AB38" s="932">
        <f>(SUMIF('9.Инвестиционна програма'!$B$57:$B$58,$B38,'9.Инвестиционна програма'!G$57:G$58)+SUMIF('9.Инвестиционна програма'!$B$60:$B$67,$B38,'9.Инвестиционна програма'!G$60:G$67))*$E$5</f>
        <v>0</v>
      </c>
      <c r="AC38" s="932">
        <f>(SUMIF('9.Инвестиционна програма'!$B$57:$B$58,$B38,'9.Инвестиционна програма'!H$57:H$58)+SUMIF('9.Инвестиционна програма'!$B$60:$B$67,$B38,'9.Инвестиционна програма'!H$60:H$67))*$E$5</f>
        <v>0</v>
      </c>
      <c r="AD38" s="932">
        <f>(SUMIF('9.Инвестиционна програма'!$B$57:$B$58,$B38,'9.Инвестиционна програма'!I$57:I$58)+SUMIF('9.Инвестиционна програма'!$B$60:$B$67,$B38,'9.Инвестиционна програма'!I$60:I$67))*$E$5</f>
        <v>0</v>
      </c>
      <c r="AE38" s="932">
        <f>(SUMIF('9.Инвестиционна програма'!$B$57:$B$58,$B38,'9.Инвестиционна програма'!J$57:J$58)+SUMIF('9.Инвестиционна програма'!$B$60:$B$67,$B38,'9.Инвестиционна програма'!J$60:J$67))*$E$5</f>
        <v>0</v>
      </c>
      <c r="AF38" s="938">
        <f>(SUMIF('9.Инвестиционна програма'!$B$57:$B$58,$B38,'9.Инвестиционна програма'!K$57:K$58)+SUMIF('9.Инвестиционна програма'!$B$60:$B$67,$B38,'9.Инвестиционна програма'!K$60:K$67))*$E$5</f>
        <v>0</v>
      </c>
      <c r="AH38" s="564"/>
    </row>
    <row r="39" spans="1:34">
      <c r="A39" s="277"/>
      <c r="B39" s="1552">
        <v>2040206</v>
      </c>
      <c r="C39" s="1553">
        <v>0.02</v>
      </c>
      <c r="D39" s="1734" t="s">
        <v>593</v>
      </c>
      <c r="E39" s="930">
        <f>'11.2. Нови активи отч.год.'!E40</f>
        <v>0</v>
      </c>
      <c r="F39" s="886">
        <f>SUMIF('9.Инвестиционна програма'!$B$11:$B$34,$B39,'9.Инвестиционна програма'!F$11:F$34)*$E$5</f>
        <v>0</v>
      </c>
      <c r="G39" s="887">
        <f>SUMIF('9.Инвестиционна програма'!$B$11:$B$34,$B39,'9.Инвестиционна програма'!G$11:G$34)*$E$5</f>
        <v>0</v>
      </c>
      <c r="H39" s="887">
        <f>SUMIF('9.Инвестиционна програма'!$B$11:$B$34,$B39,'9.Инвестиционна програма'!H$11:H$34)*$E$5</f>
        <v>0</v>
      </c>
      <c r="I39" s="887">
        <f>SUMIF('9.Инвестиционна програма'!$B$11:$B$34,$B39,'9.Инвестиционна програма'!I$11:I$34)*$E$5</f>
        <v>0</v>
      </c>
      <c r="J39" s="887">
        <f>SUMIF('9.Инвестиционна програма'!$B$11:$B$34,$B39,'9.Инвестиционна програма'!J$11:J$34)*$E$5</f>
        <v>0</v>
      </c>
      <c r="K39" s="888">
        <f>SUMIF('9.Инвестиционна програма'!$B$11:$B$34,$B39,'9.Инвестиционна програма'!K$11:K$34)*$E$5</f>
        <v>0</v>
      </c>
      <c r="L39" s="1442">
        <f>'11.2. Нови активи отч.год.'!L40</f>
        <v>0</v>
      </c>
      <c r="M39" s="935">
        <f>SUMIF('9.Инвестиционна програма'!$B$36:$B$46,$B39,'9.Инвестиционна програма'!F$36:F$46)*$E$5</f>
        <v>84</v>
      </c>
      <c r="N39" s="936">
        <f>SUMIF('9.Инвестиционна програма'!$B$36:$B$46,$B39,'9.Инвестиционна програма'!G$36:G$46)*$E$5</f>
        <v>0</v>
      </c>
      <c r="O39" s="936">
        <f>SUMIF('9.Инвестиционна програма'!$B$36:$B$46,$B39,'9.Инвестиционна програма'!H$36:H$46)*$E$5</f>
        <v>155</v>
      </c>
      <c r="P39" s="936">
        <f>SUMIF('9.Инвестиционна програма'!$B$36:$B$46,$B39,'9.Инвестиционна програма'!I$36:I$46)*$E$5</f>
        <v>510</v>
      </c>
      <c r="Q39" s="936">
        <f>SUMIF('9.Инвестиционна програма'!$B$36:$B$46,$B39,'9.Инвестиционна програма'!J$36:J$46)*$E$5</f>
        <v>775</v>
      </c>
      <c r="R39" s="937">
        <f>SUMIF('9.Инвестиционна програма'!$B$36:$B$46,$B39,'9.Инвестиционна програма'!K$36:K$46)*$E$5</f>
        <v>775</v>
      </c>
      <c r="S39" s="931">
        <f>'11.2. Нови активи отч.год.'!S40</f>
        <v>0</v>
      </c>
      <c r="T39" s="932">
        <f>SUMIF('9.Инвестиционна програма'!$B$48:$B$55,$B39,'9.Инвестиционна програма'!F$48:F$55)*$E$5</f>
        <v>0</v>
      </c>
      <c r="U39" s="932">
        <f>SUMIF('9.Инвестиционна програма'!$B$48:$B$55,$B39,'9.Инвестиционна програма'!G$48:G$55)*$E$5</f>
        <v>0</v>
      </c>
      <c r="V39" s="932">
        <f>SUMIF('9.Инвестиционна програма'!$B$48:$B$55,$B39,'9.Инвестиционна програма'!H$48:H$55)*$E$5</f>
        <v>0</v>
      </c>
      <c r="W39" s="932">
        <f>SUMIF('9.Инвестиционна програма'!$B$48:$B$55,$B39,'9.Инвестиционна програма'!I$48:I$55)*$E$5</f>
        <v>0</v>
      </c>
      <c r="X39" s="932">
        <f>SUMIF('9.Инвестиционна програма'!$B$48:$B$55,$B39,'9.Инвестиционна програма'!J$48:J$55)*$E$5</f>
        <v>0</v>
      </c>
      <c r="Y39" s="932">
        <f>SUMIF('9.Инвестиционна програма'!$B$48:$B$55,$B39,'9.Инвестиционна програма'!K$48:K$55)*$E$5</f>
        <v>0</v>
      </c>
      <c r="Z39" s="931">
        <f>'11.2. Нови активи отч.год.'!Z40</f>
        <v>0</v>
      </c>
      <c r="AA39" s="935">
        <f>(SUMIF('9.Инвестиционна програма'!$B$57:$B$58,$B39,'9.Инвестиционна програма'!F$57:F$58)+SUMIF('9.Инвестиционна програма'!$B$60:$B$67,$B39,'9.Инвестиционна програма'!F$60:F$67))*$E$5</f>
        <v>0</v>
      </c>
      <c r="AB39" s="932">
        <f>(SUMIF('9.Инвестиционна програма'!$B$57:$B$58,$B39,'9.Инвестиционна програма'!G$57:G$58)+SUMIF('9.Инвестиционна програма'!$B$60:$B$67,$B39,'9.Инвестиционна програма'!G$60:G$67))*$E$5</f>
        <v>0</v>
      </c>
      <c r="AC39" s="932">
        <f>(SUMIF('9.Инвестиционна програма'!$B$57:$B$58,$B39,'9.Инвестиционна програма'!H$57:H$58)+SUMIF('9.Инвестиционна програма'!$B$60:$B$67,$B39,'9.Инвестиционна програма'!H$60:H$67))*$E$5</f>
        <v>0</v>
      </c>
      <c r="AD39" s="932">
        <f>(SUMIF('9.Инвестиционна програма'!$B$57:$B$58,$B39,'9.Инвестиционна програма'!I$57:I$58)+SUMIF('9.Инвестиционна програма'!$B$60:$B$67,$B39,'9.Инвестиционна програма'!I$60:I$67))*$E$5</f>
        <v>0</v>
      </c>
      <c r="AE39" s="932">
        <f>(SUMIF('9.Инвестиционна програма'!$B$57:$B$58,$B39,'9.Инвестиционна програма'!J$57:J$58)+SUMIF('9.Инвестиционна програма'!$B$60:$B$67,$B39,'9.Инвестиционна програма'!J$60:J$67))*$E$5</f>
        <v>0</v>
      </c>
      <c r="AF39" s="938">
        <f>(SUMIF('9.Инвестиционна програма'!$B$57:$B$58,$B39,'9.Инвестиционна програма'!K$57:K$58)+SUMIF('9.Инвестиционна програма'!$B$60:$B$67,$B39,'9.Инвестиционна програма'!K$60:K$67))*$E$5</f>
        <v>0</v>
      </c>
      <c r="AH39" s="564"/>
    </row>
    <row r="40" spans="1:34" ht="24">
      <c r="A40" s="277"/>
      <c r="B40" s="1552">
        <v>2040207</v>
      </c>
      <c r="C40" s="1553">
        <v>0.04</v>
      </c>
      <c r="D40" s="1734" t="s">
        <v>594</v>
      </c>
      <c r="E40" s="930">
        <f>'11.2. Нови активи отч.год.'!E41</f>
        <v>0</v>
      </c>
      <c r="F40" s="886">
        <f>SUMIF('9.Инвестиционна програма'!$B$11:$B$34,$B40,'9.Инвестиционна програма'!F$11:F$34)*$E$5</f>
        <v>773</v>
      </c>
      <c r="G40" s="887">
        <f>SUMIF('9.Инвестиционна програма'!$B$11:$B$34,$B40,'9.Инвестиционна програма'!G$11:G$34)*$E$5</f>
        <v>347</v>
      </c>
      <c r="H40" s="887">
        <f>SUMIF('9.Инвестиционна програма'!$B$11:$B$34,$B40,'9.Инвестиционна програма'!H$11:H$34)*$E$5</f>
        <v>103</v>
      </c>
      <c r="I40" s="887">
        <f>SUMIF('9.Инвестиционна програма'!$B$11:$B$34,$B40,'9.Инвестиционна програма'!I$11:I$34)*$E$5</f>
        <v>313</v>
      </c>
      <c r="J40" s="887">
        <f>SUMIF('9.Инвестиционна програма'!$B$11:$B$34,$B40,'9.Инвестиционна програма'!J$11:J$34)*$E$5</f>
        <v>284</v>
      </c>
      <c r="K40" s="888">
        <f>SUMIF('9.Инвестиционна програма'!$B$11:$B$34,$B40,'9.Инвестиционна програма'!K$11:K$34)*$E$5</f>
        <v>284</v>
      </c>
      <c r="L40" s="1442">
        <f>'11.2. Нови активи отч.год.'!L41</f>
        <v>0</v>
      </c>
      <c r="M40" s="935">
        <f>SUMIF('9.Инвестиционна програма'!$B$36:$B$46,$B40,'9.Инвестиционна програма'!F$36:F$46)*$E$5</f>
        <v>0</v>
      </c>
      <c r="N40" s="936">
        <f>SUMIF('9.Инвестиционна програма'!$B$36:$B$46,$B40,'9.Инвестиционна програма'!G$36:G$46)*$E$5</f>
        <v>0</v>
      </c>
      <c r="O40" s="936">
        <f>SUMIF('9.Инвестиционна програма'!$B$36:$B$46,$B40,'9.Инвестиционна програма'!H$36:H$46)*$E$5</f>
        <v>0</v>
      </c>
      <c r="P40" s="936">
        <f>SUMIF('9.Инвестиционна програма'!$B$36:$B$46,$B40,'9.Инвестиционна програма'!I$36:I$46)*$E$5</f>
        <v>0</v>
      </c>
      <c r="Q40" s="936">
        <f>SUMIF('9.Инвестиционна програма'!$B$36:$B$46,$B40,'9.Инвестиционна програма'!J$36:J$46)*$E$5</f>
        <v>0</v>
      </c>
      <c r="R40" s="937">
        <f>SUMIF('9.Инвестиционна програма'!$B$36:$B$46,$B40,'9.Инвестиционна програма'!K$36:K$46)*$E$5</f>
        <v>0</v>
      </c>
      <c r="S40" s="931">
        <f>'11.2. Нови активи отч.год.'!S41</f>
        <v>0</v>
      </c>
      <c r="T40" s="932">
        <f>SUMIF('9.Инвестиционна програма'!$B$48:$B$55,$B40,'9.Инвестиционна програма'!F$48:F$55)*$E$5</f>
        <v>120</v>
      </c>
      <c r="U40" s="932">
        <f>SUMIF('9.Инвестиционна програма'!$B$48:$B$55,$B40,'9.Инвестиционна програма'!G$48:G$55)*$E$5</f>
        <v>34</v>
      </c>
      <c r="V40" s="932">
        <f>SUMIF('9.Инвестиционна програма'!$B$48:$B$55,$B40,'9.Инвестиционна програма'!H$48:H$55)*$E$5</f>
        <v>118</v>
      </c>
      <c r="W40" s="932">
        <f>SUMIF('9.Инвестиционна програма'!$B$48:$B$55,$B40,'9.Инвестиционна програма'!I$48:I$55)*$E$5</f>
        <v>70</v>
      </c>
      <c r="X40" s="932">
        <f>SUMIF('9.Инвестиционна програма'!$B$48:$B$55,$B40,'9.Инвестиционна програма'!J$48:J$55)*$E$5</f>
        <v>35</v>
      </c>
      <c r="Y40" s="932">
        <f>SUMIF('9.Инвестиционна програма'!$B$48:$B$55,$B40,'9.Инвестиционна програма'!K$48:K$55)*$E$5</f>
        <v>20</v>
      </c>
      <c r="Z40" s="931">
        <f>'11.2. Нови активи отч.год.'!Z41</f>
        <v>0</v>
      </c>
      <c r="AA40" s="935">
        <f>(SUMIF('9.Инвестиционна програма'!$B$57:$B$58,$B40,'9.Инвестиционна програма'!F$57:F$58)+SUMIF('9.Инвестиционна програма'!$B$60:$B$67,$B40,'9.Инвестиционна програма'!F$60:F$67))*$E$5</f>
        <v>0</v>
      </c>
      <c r="AB40" s="932">
        <f>(SUMIF('9.Инвестиционна програма'!$B$57:$B$58,$B40,'9.Инвестиционна програма'!G$57:G$58)+SUMIF('9.Инвестиционна програма'!$B$60:$B$67,$B40,'9.Инвестиционна програма'!G$60:G$67))*$E$5</f>
        <v>0</v>
      </c>
      <c r="AC40" s="932">
        <f>(SUMIF('9.Инвестиционна програма'!$B$57:$B$58,$B40,'9.Инвестиционна програма'!H$57:H$58)+SUMIF('9.Инвестиционна програма'!$B$60:$B$67,$B40,'9.Инвестиционна програма'!H$60:H$67))*$E$5</f>
        <v>0</v>
      </c>
      <c r="AD40" s="932">
        <f>(SUMIF('9.Инвестиционна програма'!$B$57:$B$58,$B40,'9.Инвестиционна програма'!I$57:I$58)+SUMIF('9.Инвестиционна програма'!$B$60:$B$67,$B40,'9.Инвестиционна програма'!I$60:I$67))*$E$5</f>
        <v>0</v>
      </c>
      <c r="AE40" s="932">
        <f>(SUMIF('9.Инвестиционна програма'!$B$57:$B$58,$B40,'9.Инвестиционна програма'!J$57:J$58)+SUMIF('9.Инвестиционна програма'!$B$60:$B$67,$B40,'9.Инвестиционна програма'!J$60:J$67))*$E$5</f>
        <v>0</v>
      </c>
      <c r="AF40" s="938">
        <f>(SUMIF('9.Инвестиционна програма'!$B$57:$B$58,$B40,'9.Инвестиционна програма'!K$57:K$58)+SUMIF('9.Инвестиционна програма'!$B$60:$B$67,$B40,'9.Инвестиционна програма'!K$60:K$67))*$E$5</f>
        <v>0</v>
      </c>
      <c r="AH40" s="564"/>
    </row>
    <row r="41" spans="1:34">
      <c r="A41" s="277"/>
      <c r="B41" s="1552">
        <v>2040208</v>
      </c>
      <c r="C41" s="1553">
        <v>0.04</v>
      </c>
      <c r="D41" s="1734" t="s">
        <v>595</v>
      </c>
      <c r="E41" s="930">
        <f>'11.2. Нови активи отч.год.'!E42</f>
        <v>0</v>
      </c>
      <c r="F41" s="886">
        <f>SUMIF('9.Инвестиционна програма'!$B$11:$B$34,$B41,'9.Инвестиционна програма'!F$11:F$34)*$E$5</f>
        <v>0</v>
      </c>
      <c r="G41" s="887">
        <f>SUMIF('9.Инвестиционна програма'!$B$11:$B$34,$B41,'9.Инвестиционна програма'!G$11:G$34)*$E$5</f>
        <v>0</v>
      </c>
      <c r="H41" s="887">
        <f>SUMIF('9.Инвестиционна програма'!$B$11:$B$34,$B41,'9.Инвестиционна програма'!H$11:H$34)*$E$5</f>
        <v>0</v>
      </c>
      <c r="I41" s="887">
        <f>SUMIF('9.Инвестиционна програма'!$B$11:$B$34,$B41,'9.Инвестиционна програма'!I$11:I$34)*$E$5</f>
        <v>0</v>
      </c>
      <c r="J41" s="887">
        <f>SUMIF('9.Инвестиционна програма'!$B$11:$B$34,$B41,'9.Инвестиционна програма'!J$11:J$34)*$E$5</f>
        <v>0</v>
      </c>
      <c r="K41" s="888">
        <f>SUMIF('9.Инвестиционна програма'!$B$11:$B$34,$B41,'9.Инвестиционна програма'!K$11:K$34)*$E$5</f>
        <v>0</v>
      </c>
      <c r="L41" s="1442">
        <f>'11.2. Нови активи отч.год.'!L42</f>
        <v>0</v>
      </c>
      <c r="M41" s="935">
        <f>SUMIF('9.Инвестиционна програма'!$B$36:$B$46,$B41,'9.Инвестиционна програма'!F$36:F$46)*$E$5</f>
        <v>0</v>
      </c>
      <c r="N41" s="936">
        <f>SUMIF('9.Инвестиционна програма'!$B$36:$B$46,$B41,'9.Инвестиционна програма'!G$36:G$46)*$E$5</f>
        <v>0</v>
      </c>
      <c r="O41" s="936">
        <f>SUMIF('9.Инвестиционна програма'!$B$36:$B$46,$B41,'9.Инвестиционна програма'!H$36:H$46)*$E$5</f>
        <v>0</v>
      </c>
      <c r="P41" s="936">
        <f>SUMIF('9.Инвестиционна програма'!$B$36:$B$46,$B41,'9.Инвестиционна програма'!I$36:I$46)*$E$5</f>
        <v>0</v>
      </c>
      <c r="Q41" s="936">
        <f>SUMIF('9.Инвестиционна програма'!$B$36:$B$46,$B41,'9.Инвестиционна програма'!J$36:J$46)*$E$5</f>
        <v>0</v>
      </c>
      <c r="R41" s="937">
        <f>SUMIF('9.Инвестиционна програма'!$B$36:$B$46,$B41,'9.Инвестиционна програма'!K$36:K$46)*$E$5</f>
        <v>0</v>
      </c>
      <c r="S41" s="931">
        <f>'11.2. Нови активи отч.год.'!S42</f>
        <v>0</v>
      </c>
      <c r="T41" s="932">
        <f>SUMIF('9.Инвестиционна програма'!$B$48:$B$55,$B41,'9.Инвестиционна програма'!F$48:F$55)*$E$5</f>
        <v>0</v>
      </c>
      <c r="U41" s="932">
        <f>SUMIF('9.Инвестиционна програма'!$B$48:$B$55,$B41,'9.Инвестиционна програма'!G$48:G$55)*$E$5</f>
        <v>0</v>
      </c>
      <c r="V41" s="932">
        <f>SUMIF('9.Инвестиционна програма'!$B$48:$B$55,$B41,'9.Инвестиционна програма'!H$48:H$55)*$E$5</f>
        <v>0</v>
      </c>
      <c r="W41" s="932">
        <f>SUMIF('9.Инвестиционна програма'!$B$48:$B$55,$B41,'9.Инвестиционна програма'!I$48:I$55)*$E$5</f>
        <v>0</v>
      </c>
      <c r="X41" s="932">
        <f>SUMIF('9.Инвестиционна програма'!$B$48:$B$55,$B41,'9.Инвестиционна програма'!J$48:J$55)*$E$5</f>
        <v>0</v>
      </c>
      <c r="Y41" s="932">
        <f>SUMIF('9.Инвестиционна програма'!$B$48:$B$55,$B41,'9.Инвестиционна програма'!K$48:K$55)*$E$5</f>
        <v>0</v>
      </c>
      <c r="Z41" s="931">
        <f>'11.2. Нови активи отч.год.'!Z42</f>
        <v>0</v>
      </c>
      <c r="AA41" s="935">
        <f>(SUMIF('9.Инвестиционна програма'!$B$57:$B$58,$B41,'9.Инвестиционна програма'!F$57:F$58)+SUMIF('9.Инвестиционна програма'!$B$60:$B$67,$B41,'9.Инвестиционна програма'!F$60:F$67))*$E$5</f>
        <v>0</v>
      </c>
      <c r="AB41" s="932">
        <f>(SUMIF('9.Инвестиционна програма'!$B$57:$B$58,$B41,'9.Инвестиционна програма'!G$57:G$58)+SUMIF('9.Инвестиционна програма'!$B$60:$B$67,$B41,'9.Инвестиционна програма'!G$60:G$67))*$E$5</f>
        <v>0</v>
      </c>
      <c r="AC41" s="932">
        <f>(SUMIF('9.Инвестиционна програма'!$B$57:$B$58,$B41,'9.Инвестиционна програма'!H$57:H$58)+SUMIF('9.Инвестиционна програма'!$B$60:$B$67,$B41,'9.Инвестиционна програма'!H$60:H$67))*$E$5</f>
        <v>0</v>
      </c>
      <c r="AD41" s="932">
        <f>(SUMIF('9.Инвестиционна програма'!$B$57:$B$58,$B41,'9.Инвестиционна програма'!I$57:I$58)+SUMIF('9.Инвестиционна програма'!$B$60:$B$67,$B41,'9.Инвестиционна програма'!I$60:I$67))*$E$5</f>
        <v>0</v>
      </c>
      <c r="AE41" s="932">
        <f>(SUMIF('9.Инвестиционна програма'!$B$57:$B$58,$B41,'9.Инвестиционна програма'!J$57:J$58)+SUMIF('9.Инвестиционна програма'!$B$60:$B$67,$B41,'9.Инвестиционна програма'!J$60:J$67))*$E$5</f>
        <v>0</v>
      </c>
      <c r="AF41" s="938">
        <f>(SUMIF('9.Инвестиционна програма'!$B$57:$B$58,$B41,'9.Инвестиционна програма'!K$57:K$58)+SUMIF('9.Инвестиционна програма'!$B$60:$B$67,$B41,'9.Инвестиционна програма'!K$60:K$67))*$E$5</f>
        <v>0</v>
      </c>
      <c r="AH41" s="564"/>
    </row>
    <row r="42" spans="1:34">
      <c r="A42" s="277"/>
      <c r="B42" s="1753">
        <v>20403</v>
      </c>
      <c r="C42" s="1754">
        <v>0.04</v>
      </c>
      <c r="D42" s="1742" t="s">
        <v>1524</v>
      </c>
      <c r="E42" s="930">
        <f>'11.2. Нови активи отч.год.'!E43</f>
        <v>0</v>
      </c>
      <c r="F42" s="886">
        <f>SUMIF('9.Инвестиционна програма'!$B$11:$B$34,$B42,'9.Инвестиционна програма'!F$11:F$34)*$E$5</f>
        <v>0</v>
      </c>
      <c r="G42" s="887">
        <f>SUMIF('9.Инвестиционна програма'!$B$11:$B$34,$B42,'9.Инвестиционна програма'!G$11:G$34)*$E$5</f>
        <v>0</v>
      </c>
      <c r="H42" s="887">
        <f>SUMIF('9.Инвестиционна програма'!$B$11:$B$34,$B42,'9.Инвестиционна програма'!H$11:H$34)*$E$5</f>
        <v>0</v>
      </c>
      <c r="I42" s="887">
        <f>SUMIF('9.Инвестиционна програма'!$B$11:$B$34,$B42,'9.Инвестиционна програма'!I$11:I$34)*$E$5</f>
        <v>0</v>
      </c>
      <c r="J42" s="887">
        <f>SUMIF('9.Инвестиционна програма'!$B$11:$B$34,$B42,'9.Инвестиционна програма'!J$11:J$34)*$E$5</f>
        <v>0</v>
      </c>
      <c r="K42" s="888">
        <f>SUMIF('9.Инвестиционна програма'!$B$11:$B$34,$B42,'9.Инвестиционна програма'!K$11:K$34)*$E$5</f>
        <v>0</v>
      </c>
      <c r="L42" s="1442">
        <f>'11.2. Нови активи отч.год.'!L43</f>
        <v>0</v>
      </c>
      <c r="M42" s="935">
        <f>SUMIF('9.Инвестиционна програма'!$B$36:$B$46,$B42,'9.Инвестиционна програма'!F$36:F$46)*$E$5</f>
        <v>0</v>
      </c>
      <c r="N42" s="936">
        <f>SUMIF('9.Инвестиционна програма'!$B$36:$B$46,$B42,'9.Инвестиционна програма'!G$36:G$46)*$E$5</f>
        <v>0</v>
      </c>
      <c r="O42" s="936">
        <f>SUMIF('9.Инвестиционна програма'!$B$36:$B$46,$B42,'9.Инвестиционна програма'!H$36:H$46)*$E$5</f>
        <v>0</v>
      </c>
      <c r="P42" s="936">
        <f>SUMIF('9.Инвестиционна програма'!$B$36:$B$46,$B42,'9.Инвестиционна програма'!I$36:I$46)*$E$5</f>
        <v>0</v>
      </c>
      <c r="Q42" s="936">
        <f>SUMIF('9.Инвестиционна програма'!$B$36:$B$46,$B42,'9.Инвестиционна програма'!J$36:J$46)*$E$5</f>
        <v>0</v>
      </c>
      <c r="R42" s="937">
        <f>SUMIF('9.Инвестиционна програма'!$B$36:$B$46,$B42,'9.Инвестиционна програма'!K$36:K$46)*$E$5</f>
        <v>0</v>
      </c>
      <c r="S42" s="931">
        <f>'11.2. Нови активи отч.год.'!S43</f>
        <v>0</v>
      </c>
      <c r="T42" s="932">
        <f>SUMIF('9.Инвестиционна програма'!$B$48:$B$55,$B42,'9.Инвестиционна програма'!F$48:F$55)*$E$5</f>
        <v>0</v>
      </c>
      <c r="U42" s="932">
        <f>SUMIF('9.Инвестиционна програма'!$B$48:$B$55,$B42,'9.Инвестиционна програма'!G$48:G$55)*$E$5</f>
        <v>0</v>
      </c>
      <c r="V42" s="932">
        <f>SUMIF('9.Инвестиционна програма'!$B$48:$B$55,$B42,'9.Инвестиционна програма'!H$48:H$55)*$E$5</f>
        <v>0</v>
      </c>
      <c r="W42" s="932">
        <f>SUMIF('9.Инвестиционна програма'!$B$48:$B$55,$B42,'9.Инвестиционна програма'!I$48:I$55)*$E$5</f>
        <v>0</v>
      </c>
      <c r="X42" s="932">
        <f>SUMIF('9.Инвестиционна програма'!$B$48:$B$55,$B42,'9.Инвестиционна програма'!J$48:J$55)*$E$5</f>
        <v>0</v>
      </c>
      <c r="Y42" s="932">
        <f>SUMIF('9.Инвестиционна програма'!$B$48:$B$55,$B42,'9.Инвестиционна програма'!K$48:K$55)*$E$5</f>
        <v>0</v>
      </c>
      <c r="Z42" s="931">
        <f>'11.2. Нови активи отч.год.'!Z43</f>
        <v>0</v>
      </c>
      <c r="AA42" s="935">
        <f>(SUMIF('9.Инвестиционна програма'!$B$57:$B$58,$B42,'9.Инвестиционна програма'!F$57:F$58)+SUMIF('9.Инвестиционна програма'!$B$60:$B$67,$B42,'9.Инвестиционна програма'!F$60:F$67))*$E$5</f>
        <v>0</v>
      </c>
      <c r="AB42" s="932">
        <f>(SUMIF('9.Инвестиционна програма'!$B$57:$B$58,$B42,'9.Инвестиционна програма'!G$57:G$58)+SUMIF('9.Инвестиционна програма'!$B$60:$B$67,$B42,'9.Инвестиционна програма'!G$60:G$67))*$E$5</f>
        <v>0</v>
      </c>
      <c r="AC42" s="932">
        <f>(SUMIF('9.Инвестиционна програма'!$B$57:$B$58,$B42,'9.Инвестиционна програма'!H$57:H$58)+SUMIF('9.Инвестиционна програма'!$B$60:$B$67,$B42,'9.Инвестиционна програма'!H$60:H$67))*$E$5</f>
        <v>0</v>
      </c>
      <c r="AD42" s="932">
        <f>(SUMIF('9.Инвестиционна програма'!$B$57:$B$58,$B42,'9.Инвестиционна програма'!I$57:I$58)+SUMIF('9.Инвестиционна програма'!$B$60:$B$67,$B42,'9.Инвестиционна програма'!I$60:I$67))*$E$5</f>
        <v>0</v>
      </c>
      <c r="AE42" s="932">
        <f>(SUMIF('9.Инвестиционна програма'!$B$57:$B$58,$B42,'9.Инвестиционна програма'!J$57:J$58)+SUMIF('9.Инвестиционна програма'!$B$60:$B$67,$B42,'9.Инвестиционна програма'!J$60:J$67))*$E$5</f>
        <v>0</v>
      </c>
      <c r="AF42" s="938">
        <f>(SUMIF('9.Инвестиционна програма'!$B$57:$B$58,$B42,'9.Инвестиционна програма'!K$57:K$58)+SUMIF('9.Инвестиционна програма'!$B$60:$B$67,$B42,'9.Инвестиционна програма'!K$60:K$67))*$E$5</f>
        <v>0</v>
      </c>
      <c r="AH42" s="564"/>
    </row>
    <row r="43" spans="1:34" ht="25.5">
      <c r="A43" s="277"/>
      <c r="B43" s="1753" t="s">
        <v>1525</v>
      </c>
      <c r="C43" s="1754">
        <v>0.04</v>
      </c>
      <c r="D43" s="1742" t="s">
        <v>1526</v>
      </c>
      <c r="E43" s="930">
        <f>'11.2. Нови активи отч.год.'!E44</f>
        <v>0</v>
      </c>
      <c r="F43" s="886">
        <f>SUMIF('9.Инвестиционна програма'!$B$11:$B$34,$B43,'9.Инвестиционна програма'!F$11:F$34)*$E$5</f>
        <v>0</v>
      </c>
      <c r="G43" s="887">
        <f>SUMIF('9.Инвестиционна програма'!$B$11:$B$34,$B43,'9.Инвестиционна програма'!G$11:G$34)*$E$5</f>
        <v>0</v>
      </c>
      <c r="H43" s="887">
        <f>SUMIF('9.Инвестиционна програма'!$B$11:$B$34,$B43,'9.Инвестиционна програма'!H$11:H$34)*$E$5</f>
        <v>0</v>
      </c>
      <c r="I43" s="887">
        <f>SUMIF('9.Инвестиционна програма'!$B$11:$B$34,$B43,'9.Инвестиционна програма'!I$11:I$34)*$E$5</f>
        <v>0</v>
      </c>
      <c r="J43" s="887">
        <f>SUMIF('9.Инвестиционна програма'!$B$11:$B$34,$B43,'9.Инвестиционна програма'!J$11:J$34)*$E$5</f>
        <v>0</v>
      </c>
      <c r="K43" s="888">
        <f>SUMIF('9.Инвестиционна програма'!$B$11:$B$34,$B43,'9.Инвестиционна програма'!K$11:K$34)*$E$5</f>
        <v>0</v>
      </c>
      <c r="L43" s="1442">
        <f>'11.2. Нови активи отч.год.'!L44</f>
        <v>0</v>
      </c>
      <c r="M43" s="935">
        <f>SUMIF('9.Инвестиционна програма'!$B$36:$B$46,$B43,'9.Инвестиционна програма'!F$36:F$46)*$E$5</f>
        <v>0</v>
      </c>
      <c r="N43" s="936">
        <f>SUMIF('9.Инвестиционна програма'!$B$36:$B$46,$B43,'9.Инвестиционна програма'!G$36:G$46)*$E$5</f>
        <v>0</v>
      </c>
      <c r="O43" s="936">
        <f>SUMIF('9.Инвестиционна програма'!$B$36:$B$46,$B43,'9.Инвестиционна програма'!H$36:H$46)*$E$5</f>
        <v>0</v>
      </c>
      <c r="P43" s="936">
        <f>SUMIF('9.Инвестиционна програма'!$B$36:$B$46,$B43,'9.Инвестиционна програма'!I$36:I$46)*$E$5</f>
        <v>0</v>
      </c>
      <c r="Q43" s="936">
        <f>SUMIF('9.Инвестиционна програма'!$B$36:$B$46,$B43,'9.Инвестиционна програма'!J$36:J$46)*$E$5</f>
        <v>0</v>
      </c>
      <c r="R43" s="937">
        <f>SUMIF('9.Инвестиционна програма'!$B$36:$B$46,$B43,'9.Инвестиционна програма'!K$36:K$46)*$E$5</f>
        <v>0</v>
      </c>
      <c r="S43" s="931">
        <f>'11.2. Нови активи отч.год.'!S44</f>
        <v>0</v>
      </c>
      <c r="T43" s="932">
        <f>SUMIF('9.Инвестиционна програма'!$B$48:$B$55,$B43,'9.Инвестиционна програма'!F$48:F$55)*$E$5</f>
        <v>0</v>
      </c>
      <c r="U43" s="932">
        <f>SUMIF('9.Инвестиционна програма'!$B$48:$B$55,$B43,'9.Инвестиционна програма'!G$48:G$55)*$E$5</f>
        <v>0</v>
      </c>
      <c r="V43" s="932">
        <f>SUMIF('9.Инвестиционна програма'!$B$48:$B$55,$B43,'9.Инвестиционна програма'!H$48:H$55)*$E$5</f>
        <v>0</v>
      </c>
      <c r="W43" s="932">
        <f>SUMIF('9.Инвестиционна програма'!$B$48:$B$55,$B43,'9.Инвестиционна програма'!I$48:I$55)*$E$5</f>
        <v>0</v>
      </c>
      <c r="X43" s="932">
        <f>SUMIF('9.Инвестиционна програма'!$B$48:$B$55,$B43,'9.Инвестиционна програма'!J$48:J$55)*$E$5</f>
        <v>0</v>
      </c>
      <c r="Y43" s="932">
        <f>SUMIF('9.Инвестиционна програма'!$B$48:$B$55,$B43,'9.Инвестиционна програма'!K$48:K$55)*$E$5</f>
        <v>0</v>
      </c>
      <c r="Z43" s="931">
        <f>'11.2. Нови активи отч.год.'!Z44</f>
        <v>0</v>
      </c>
      <c r="AA43" s="935">
        <f>(SUMIF('9.Инвестиционна програма'!$B$57:$B$58,$B43,'9.Инвестиционна програма'!F$57:F$58)+SUMIF('9.Инвестиционна програма'!$B$60:$B$67,$B43,'9.Инвестиционна програма'!F$60:F$67))*$E$5</f>
        <v>0</v>
      </c>
      <c r="AB43" s="932">
        <f>(SUMIF('9.Инвестиционна програма'!$B$57:$B$58,$B43,'9.Инвестиционна програма'!G$57:G$58)+SUMIF('9.Инвестиционна програма'!$B$60:$B$67,$B43,'9.Инвестиционна програма'!G$60:G$67))*$E$5</f>
        <v>0</v>
      </c>
      <c r="AC43" s="932">
        <f>(SUMIF('9.Инвестиционна програма'!$B$57:$B$58,$B43,'9.Инвестиционна програма'!H$57:H$58)+SUMIF('9.Инвестиционна програма'!$B$60:$B$67,$B43,'9.Инвестиционна програма'!H$60:H$67))*$E$5</f>
        <v>0</v>
      </c>
      <c r="AD43" s="932">
        <f>(SUMIF('9.Инвестиционна програма'!$B$57:$B$58,$B43,'9.Инвестиционна програма'!I$57:I$58)+SUMIF('9.Инвестиционна програма'!$B$60:$B$67,$B43,'9.Инвестиционна програма'!I$60:I$67))*$E$5</f>
        <v>0</v>
      </c>
      <c r="AE43" s="932">
        <f>(SUMIF('9.Инвестиционна програма'!$B$57:$B$58,$B43,'9.Инвестиционна програма'!J$57:J$58)+SUMIF('9.Инвестиционна програма'!$B$60:$B$67,$B43,'9.Инвестиционна програма'!J$60:J$67))*$E$5</f>
        <v>0</v>
      </c>
      <c r="AF43" s="938">
        <f>(SUMIF('9.Инвестиционна програма'!$B$57:$B$58,$B43,'9.Инвестиционна програма'!K$57:K$58)+SUMIF('9.Инвестиционна програма'!$B$60:$B$67,$B43,'9.Инвестиционна програма'!K$60:K$67))*$E$5</f>
        <v>0</v>
      </c>
      <c r="AH43" s="564"/>
    </row>
    <row r="44" spans="1:34">
      <c r="A44" s="939">
        <v>5</v>
      </c>
      <c r="B44" s="1728">
        <v>205</v>
      </c>
      <c r="C44" s="1728"/>
      <c r="D44" s="1731" t="s">
        <v>275</v>
      </c>
      <c r="E44" s="955">
        <f t="shared" ref="E44:AF44" si="10">SUM(E45:E48)</f>
        <v>622</v>
      </c>
      <c r="F44" s="956">
        <f t="shared" si="10"/>
        <v>0</v>
      </c>
      <c r="G44" s="895">
        <f t="shared" si="10"/>
        <v>0</v>
      </c>
      <c r="H44" s="895">
        <f t="shared" si="10"/>
        <v>0</v>
      </c>
      <c r="I44" s="895">
        <f t="shared" si="10"/>
        <v>60</v>
      </c>
      <c r="J44" s="895">
        <f t="shared" si="10"/>
        <v>30</v>
      </c>
      <c r="K44" s="896">
        <f t="shared" si="10"/>
        <v>30</v>
      </c>
      <c r="L44" s="1988">
        <f t="shared" si="10"/>
        <v>16</v>
      </c>
      <c r="M44" s="890">
        <f t="shared" si="10"/>
        <v>0</v>
      </c>
      <c r="N44" s="891">
        <f t="shared" si="10"/>
        <v>0</v>
      </c>
      <c r="O44" s="891">
        <f t="shared" si="10"/>
        <v>0</v>
      </c>
      <c r="P44" s="891">
        <f t="shared" si="10"/>
        <v>30</v>
      </c>
      <c r="Q44" s="891">
        <f t="shared" si="10"/>
        <v>127</v>
      </c>
      <c r="R44" s="892">
        <f t="shared" si="10"/>
        <v>0</v>
      </c>
      <c r="S44" s="957">
        <f t="shared" si="10"/>
        <v>0</v>
      </c>
      <c r="T44" s="894">
        <f t="shared" si="10"/>
        <v>0</v>
      </c>
      <c r="U44" s="895">
        <f t="shared" si="10"/>
        <v>0</v>
      </c>
      <c r="V44" s="895">
        <f t="shared" si="10"/>
        <v>70</v>
      </c>
      <c r="W44" s="895">
        <f t="shared" si="10"/>
        <v>0</v>
      </c>
      <c r="X44" s="895">
        <f t="shared" si="10"/>
        <v>0</v>
      </c>
      <c r="Y44" s="896">
        <f t="shared" si="10"/>
        <v>0</v>
      </c>
      <c r="Z44" s="957">
        <f t="shared" si="10"/>
        <v>0</v>
      </c>
      <c r="AA44" s="893">
        <f t="shared" si="10"/>
        <v>0</v>
      </c>
      <c r="AB44" s="891">
        <f t="shared" si="10"/>
        <v>65</v>
      </c>
      <c r="AC44" s="891">
        <f t="shared" si="10"/>
        <v>45</v>
      </c>
      <c r="AD44" s="891">
        <f t="shared" si="10"/>
        <v>0</v>
      </c>
      <c r="AE44" s="891">
        <f t="shared" si="10"/>
        <v>0</v>
      </c>
      <c r="AF44" s="892">
        <f t="shared" si="10"/>
        <v>0</v>
      </c>
      <c r="AH44" s="564"/>
    </row>
    <row r="45" spans="1:34">
      <c r="A45" s="897"/>
      <c r="B45" s="1555">
        <v>20501</v>
      </c>
      <c r="C45" s="1554">
        <v>0.08</v>
      </c>
      <c r="D45" s="1549" t="s">
        <v>765</v>
      </c>
      <c r="E45" s="930">
        <f>'11.2. Нови активи отч.год.'!E46</f>
        <v>290</v>
      </c>
      <c r="F45" s="886">
        <f>SUMIF('9.Инвестиционна програма'!$B$11:$B$34,$B45,'9.Инвестиционна програма'!F$11:F$34)*$E$5</f>
        <v>0</v>
      </c>
      <c r="G45" s="887">
        <f>SUMIF('9.Инвестиционна програма'!$B$11:$B$34,$B45,'9.Инвестиционна програма'!G$11:G$34)*$E$5</f>
        <v>0</v>
      </c>
      <c r="H45" s="887">
        <f>SUMIF('9.Инвестиционна програма'!$B$11:$B$34,$B45,'9.Инвестиционна програма'!H$11:H$34)*$E$5</f>
        <v>0</v>
      </c>
      <c r="I45" s="887">
        <f>SUMIF('9.Инвестиционна програма'!$B$11:$B$34,$B45,'9.Инвестиционна програма'!I$11:I$34)*$E$5</f>
        <v>0</v>
      </c>
      <c r="J45" s="887">
        <f>SUMIF('9.Инвестиционна програма'!$B$11:$B$34,$B45,'9.Инвестиционна програма'!J$11:J$34)*$E$5</f>
        <v>0</v>
      </c>
      <c r="K45" s="888">
        <f>SUMIF('9.Инвестиционна програма'!$B$11:$B$34,$B45,'9.Инвестиционна програма'!K$11:K$34)*$E$5</f>
        <v>0</v>
      </c>
      <c r="L45" s="1442">
        <f>'11.2. Нови активи отч.год.'!L46</f>
        <v>9</v>
      </c>
      <c r="M45" s="935">
        <f>SUMIF('9.Инвестиционна програма'!$B$36:$B$46,$B45,'9.Инвестиционна програма'!F$36:F$46)*$E$5</f>
        <v>0</v>
      </c>
      <c r="N45" s="936">
        <f>SUMIF('9.Инвестиционна програма'!$B$36:$B$46,$B45,'9.Инвестиционна програма'!G$36:G$46)*$E$5</f>
        <v>0</v>
      </c>
      <c r="O45" s="936">
        <f>SUMIF('9.Инвестиционна програма'!$B$36:$B$46,$B45,'9.Инвестиционна програма'!H$36:H$46)*$E$5</f>
        <v>0</v>
      </c>
      <c r="P45" s="936">
        <f>SUMIF('9.Инвестиционна програма'!$B$36:$B$46,$B45,'9.Инвестиционна програма'!I$36:I$46)*$E$5</f>
        <v>0</v>
      </c>
      <c r="Q45" s="936">
        <f>SUMIF('9.Инвестиционна програма'!$B$36:$B$46,$B45,'9.Инвестиционна програма'!J$36:J$46)*$E$5</f>
        <v>127</v>
      </c>
      <c r="R45" s="937">
        <f>SUMIF('9.Инвестиционна програма'!$B$36:$B$46,$B45,'9.Инвестиционна програма'!K$36:K$46)*$E$5</f>
        <v>0</v>
      </c>
      <c r="S45" s="931">
        <f>'11.2. Нови активи отч.год.'!S46</f>
        <v>0</v>
      </c>
      <c r="T45" s="932">
        <f>SUMIF('9.Инвестиционна програма'!$B$48:$B$55,$B45,'9.Инвестиционна програма'!F$48:F$55)*$E$5</f>
        <v>0</v>
      </c>
      <c r="U45" s="932">
        <f>SUMIF('9.Инвестиционна програма'!$B$48:$B$55,$B45,'9.Инвестиционна програма'!G$48:G$55)*$E$5</f>
        <v>0</v>
      </c>
      <c r="V45" s="932">
        <f>SUMIF('9.Инвестиционна програма'!$B$48:$B$55,$B45,'9.Инвестиционна програма'!H$48:H$55)*$E$5</f>
        <v>0</v>
      </c>
      <c r="W45" s="932">
        <f>SUMIF('9.Инвестиционна програма'!$B$48:$B$55,$B45,'9.Инвестиционна програма'!I$48:I$55)*$E$5</f>
        <v>0</v>
      </c>
      <c r="X45" s="932">
        <f>SUMIF('9.Инвестиционна програма'!$B$48:$B$55,$B45,'9.Инвестиционна програма'!J$48:J$55)*$E$5</f>
        <v>0</v>
      </c>
      <c r="Y45" s="932">
        <f>SUMIF('9.Инвестиционна програма'!$B$48:$B$55,$B45,'9.Инвестиционна програма'!K$48:K$55)*$E$5</f>
        <v>0</v>
      </c>
      <c r="Z45" s="931">
        <f>'11.2. Нови активи отч.год.'!Z46</f>
        <v>0</v>
      </c>
      <c r="AA45" s="935">
        <f>(SUMIF('9.Инвестиционна програма'!$B$57:$B$58,$B45,'9.Инвестиционна програма'!F$57:F$58)+SUMIF('9.Инвестиционна програма'!$B$60:$B$67,$B45,'9.Инвестиционна програма'!F$60:F$67))*$E$5</f>
        <v>0</v>
      </c>
      <c r="AB45" s="932">
        <f>(SUMIF('9.Инвестиционна програма'!$B$57:$B$58,$B45,'9.Инвестиционна програма'!G$57:G$58)+SUMIF('9.Инвестиционна програма'!$B$60:$B$67,$B45,'9.Инвестиционна програма'!G$60:G$67))*$E$5</f>
        <v>0</v>
      </c>
      <c r="AC45" s="932">
        <f>(SUMIF('9.Инвестиционна програма'!$B$57:$B$58,$B45,'9.Инвестиционна програма'!H$57:H$58)+SUMIF('9.Инвестиционна програма'!$B$60:$B$67,$B45,'9.Инвестиционна програма'!H$60:H$67))*$E$5</f>
        <v>0</v>
      </c>
      <c r="AD45" s="932">
        <f>(SUMIF('9.Инвестиционна програма'!$B$57:$B$58,$B45,'9.Инвестиционна програма'!I$57:I$58)+SUMIF('9.Инвестиционна програма'!$B$60:$B$67,$B45,'9.Инвестиционна програма'!I$60:I$67))*$E$5</f>
        <v>0</v>
      </c>
      <c r="AE45" s="932">
        <f>(SUMIF('9.Инвестиционна програма'!$B$57:$B$58,$B45,'9.Инвестиционна програма'!J$57:J$58)+SUMIF('9.Инвестиционна програма'!$B$60:$B$67,$B45,'9.Инвестиционна програма'!J$60:J$67))*$E$5</f>
        <v>0</v>
      </c>
      <c r="AF45" s="938">
        <f>(SUMIF('9.Инвестиционна програма'!$B$57:$B$58,$B45,'9.Инвестиционна програма'!K$57:K$58)+SUMIF('9.Инвестиционна програма'!$B$60:$B$67,$B45,'9.Инвестиционна програма'!K$60:K$67))*$E$5</f>
        <v>0</v>
      </c>
      <c r="AG45" s="306"/>
      <c r="AH45" s="564"/>
    </row>
    <row r="46" spans="1:34">
      <c r="A46" s="897"/>
      <c r="B46" s="1555">
        <v>20502</v>
      </c>
      <c r="C46" s="1554">
        <v>0.1</v>
      </c>
      <c r="D46" s="1549" t="s">
        <v>583</v>
      </c>
      <c r="E46" s="930">
        <f>'11.2. Нови активи отч.год.'!E47</f>
        <v>332</v>
      </c>
      <c r="F46" s="886">
        <f>SUMIF('9.Инвестиционна програма'!$B$11:$B$34,$B46,'9.Инвестиционна програма'!F$11:F$34)*$E$5</f>
        <v>0</v>
      </c>
      <c r="G46" s="887">
        <f>SUMIF('9.Инвестиционна програма'!$B$11:$B$34,$B46,'9.Инвестиционна програма'!G$11:G$34)*$E$5</f>
        <v>0</v>
      </c>
      <c r="H46" s="887">
        <f>SUMIF('9.Инвестиционна програма'!$B$11:$B$34,$B46,'9.Инвестиционна програма'!H$11:H$34)*$E$5</f>
        <v>0</v>
      </c>
      <c r="I46" s="887">
        <f>SUMIF('9.Инвестиционна програма'!$B$11:$B$34,$B46,'9.Инвестиционна програма'!I$11:I$34)*$E$5</f>
        <v>60</v>
      </c>
      <c r="J46" s="887">
        <f>SUMIF('9.Инвестиционна програма'!$B$11:$B$34,$B46,'9.Инвестиционна програма'!J$11:J$34)*$E$5</f>
        <v>30</v>
      </c>
      <c r="K46" s="888">
        <f>SUMIF('9.Инвестиционна програма'!$B$11:$B$34,$B46,'9.Инвестиционна програма'!K$11:K$34)*$E$5</f>
        <v>30</v>
      </c>
      <c r="L46" s="1442">
        <f>'11.2. Нови активи отч.год.'!L47</f>
        <v>7</v>
      </c>
      <c r="M46" s="935">
        <f>SUMIF('9.Инвестиционна програма'!$B$36:$B$46,$B46,'9.Инвестиционна програма'!F$36:F$46)*$E$5</f>
        <v>0</v>
      </c>
      <c r="N46" s="936">
        <f>SUMIF('9.Инвестиционна програма'!$B$36:$B$46,$B46,'9.Инвестиционна програма'!G$36:G$46)*$E$5</f>
        <v>0</v>
      </c>
      <c r="O46" s="936">
        <f>SUMIF('9.Инвестиционна програма'!$B$36:$B$46,$B46,'9.Инвестиционна програма'!H$36:H$46)*$E$5</f>
        <v>0</v>
      </c>
      <c r="P46" s="936">
        <f>SUMIF('9.Инвестиционна програма'!$B$36:$B$46,$B46,'9.Инвестиционна програма'!I$36:I$46)*$E$5</f>
        <v>30</v>
      </c>
      <c r="Q46" s="936">
        <f>SUMIF('9.Инвестиционна програма'!$B$36:$B$46,$B46,'9.Инвестиционна програма'!J$36:J$46)*$E$5</f>
        <v>0</v>
      </c>
      <c r="R46" s="937">
        <f>SUMIF('9.Инвестиционна програма'!$B$36:$B$46,$B46,'9.Инвестиционна програма'!K$36:K$46)*$E$5</f>
        <v>0</v>
      </c>
      <c r="S46" s="931">
        <f>'11.2. Нови активи отч.год.'!S47</f>
        <v>0</v>
      </c>
      <c r="T46" s="932">
        <f>SUMIF('9.Инвестиционна програма'!$B$48:$B$55,$B46,'9.Инвестиционна програма'!F$48:F$55)*$E$5</f>
        <v>0</v>
      </c>
      <c r="U46" s="932">
        <f>SUMIF('9.Инвестиционна програма'!$B$48:$B$55,$B46,'9.Инвестиционна програма'!G$48:G$55)*$E$5</f>
        <v>0</v>
      </c>
      <c r="V46" s="932">
        <f>SUMIF('9.Инвестиционна програма'!$B$48:$B$55,$B46,'9.Инвестиционна програма'!H$48:H$55)*$E$5</f>
        <v>60</v>
      </c>
      <c r="W46" s="932">
        <f>SUMIF('9.Инвестиционна програма'!$B$48:$B$55,$B46,'9.Инвестиционна програма'!I$48:I$55)*$E$5</f>
        <v>0</v>
      </c>
      <c r="X46" s="932">
        <f>SUMIF('9.Инвестиционна програма'!$B$48:$B$55,$B46,'9.Инвестиционна програма'!J$48:J$55)*$E$5</f>
        <v>0</v>
      </c>
      <c r="Y46" s="932">
        <f>SUMIF('9.Инвестиционна програма'!$B$48:$B$55,$B46,'9.Инвестиционна програма'!K$48:K$55)*$E$5</f>
        <v>0</v>
      </c>
      <c r="Z46" s="931">
        <f>'11.2. Нови активи отч.год.'!Z47</f>
        <v>0</v>
      </c>
      <c r="AA46" s="935">
        <f>(SUMIF('9.Инвестиционна програма'!$B$57:$B$58,$B46,'9.Инвестиционна програма'!F$57:F$58)+SUMIF('9.Инвестиционна програма'!$B$60:$B$67,$B46,'9.Инвестиционна програма'!F$60:F$67))*$E$5</f>
        <v>0</v>
      </c>
      <c r="AB46" s="932">
        <f>(SUMIF('9.Инвестиционна програма'!$B$57:$B$58,$B46,'9.Инвестиционна програма'!G$57:G$58)+SUMIF('9.Инвестиционна програма'!$B$60:$B$67,$B46,'9.Инвестиционна програма'!G$60:G$67))*$E$5</f>
        <v>0</v>
      </c>
      <c r="AC46" s="932">
        <f>(SUMIF('9.Инвестиционна програма'!$B$57:$B$58,$B46,'9.Инвестиционна програма'!H$57:H$58)+SUMIF('9.Инвестиционна програма'!$B$60:$B$67,$B46,'9.Инвестиционна програма'!H$60:H$67))*$E$5</f>
        <v>45</v>
      </c>
      <c r="AD46" s="932">
        <f>(SUMIF('9.Инвестиционна програма'!$B$57:$B$58,$B46,'9.Инвестиционна програма'!I$57:I$58)+SUMIF('9.Инвестиционна програма'!$B$60:$B$67,$B46,'9.Инвестиционна програма'!I$60:I$67))*$E$5</f>
        <v>0</v>
      </c>
      <c r="AE46" s="932">
        <f>(SUMIF('9.Инвестиционна програма'!$B$57:$B$58,$B46,'9.Инвестиционна програма'!J$57:J$58)+SUMIF('9.Инвестиционна програма'!$B$60:$B$67,$B46,'9.Инвестиционна програма'!J$60:J$67))*$E$5</f>
        <v>0</v>
      </c>
      <c r="AF46" s="938">
        <f>(SUMIF('9.Инвестиционна програма'!$B$57:$B$58,$B46,'9.Инвестиционна програма'!K$57:K$58)+SUMIF('9.Инвестиционна програма'!$B$60:$B$67,$B46,'9.Инвестиционна програма'!K$60:K$67))*$E$5</f>
        <v>0</v>
      </c>
      <c r="AG46" s="306"/>
      <c r="AH46" s="564"/>
    </row>
    <row r="47" spans="1:34">
      <c r="A47" s="897"/>
      <c r="B47" s="1555">
        <v>20503</v>
      </c>
      <c r="C47" s="1554">
        <v>0.1</v>
      </c>
      <c r="D47" s="1546" t="s">
        <v>584</v>
      </c>
      <c r="E47" s="930">
        <f>'11.2. Нови активи отч.год.'!E48</f>
        <v>0</v>
      </c>
      <c r="F47" s="886">
        <f>SUMIF('9.Инвестиционна програма'!$B$11:$B$34,$B47,'9.Инвестиционна програма'!F$11:F$34)*$E$5</f>
        <v>0</v>
      </c>
      <c r="G47" s="887">
        <f>SUMIF('9.Инвестиционна програма'!$B$11:$B$34,$B47,'9.Инвестиционна програма'!G$11:G$34)*$E$5</f>
        <v>0</v>
      </c>
      <c r="H47" s="887">
        <f>SUMIF('9.Инвестиционна програма'!$B$11:$B$34,$B47,'9.Инвестиционна програма'!H$11:H$34)*$E$5</f>
        <v>0</v>
      </c>
      <c r="I47" s="887">
        <f>SUMIF('9.Инвестиционна програма'!$B$11:$B$34,$B47,'9.Инвестиционна програма'!I$11:I$34)*$E$5</f>
        <v>0</v>
      </c>
      <c r="J47" s="887">
        <f>SUMIF('9.Инвестиционна програма'!$B$11:$B$34,$B47,'9.Инвестиционна програма'!J$11:J$34)*$E$5</f>
        <v>0</v>
      </c>
      <c r="K47" s="888">
        <f>SUMIF('9.Инвестиционна програма'!$B$11:$B$34,$B47,'9.Инвестиционна програма'!K$11:K$34)*$E$5</f>
        <v>0</v>
      </c>
      <c r="L47" s="1442">
        <f>'11.2. Нови активи отч.год.'!L48</f>
        <v>0</v>
      </c>
      <c r="M47" s="935">
        <f>SUMIF('9.Инвестиционна програма'!$B$36:$B$46,$B47,'9.Инвестиционна програма'!F$36:F$46)*$E$5</f>
        <v>0</v>
      </c>
      <c r="N47" s="936">
        <f>SUMIF('9.Инвестиционна програма'!$B$36:$B$46,$B47,'9.Инвестиционна програма'!G$36:G$46)*$E$5</f>
        <v>0</v>
      </c>
      <c r="O47" s="936">
        <f>SUMIF('9.Инвестиционна програма'!$B$36:$B$46,$B47,'9.Инвестиционна програма'!H$36:H$46)*$E$5</f>
        <v>0</v>
      </c>
      <c r="P47" s="936">
        <f>SUMIF('9.Инвестиционна програма'!$B$36:$B$46,$B47,'9.Инвестиционна програма'!I$36:I$46)*$E$5</f>
        <v>0</v>
      </c>
      <c r="Q47" s="936">
        <f>SUMIF('9.Инвестиционна програма'!$B$36:$B$46,$B47,'9.Инвестиционна програма'!J$36:J$46)*$E$5</f>
        <v>0</v>
      </c>
      <c r="R47" s="937">
        <f>SUMIF('9.Инвестиционна програма'!$B$36:$B$46,$B47,'9.Инвестиционна програма'!K$36:K$46)*$E$5</f>
        <v>0</v>
      </c>
      <c r="S47" s="931">
        <f>'11.2. Нови активи отч.год.'!S48</f>
        <v>0</v>
      </c>
      <c r="T47" s="932">
        <f>SUMIF('9.Инвестиционна програма'!$B$48:$B$55,$B47,'9.Инвестиционна програма'!F$48:F$55)*$E$5</f>
        <v>0</v>
      </c>
      <c r="U47" s="932">
        <f>SUMIF('9.Инвестиционна програма'!$B$48:$B$55,$B47,'9.Инвестиционна програма'!G$48:G$55)*$E$5</f>
        <v>0</v>
      </c>
      <c r="V47" s="932">
        <f>SUMIF('9.Инвестиционна програма'!$B$48:$B$55,$B47,'9.Инвестиционна програма'!H$48:H$55)*$E$5</f>
        <v>10</v>
      </c>
      <c r="W47" s="932">
        <f>SUMIF('9.Инвестиционна програма'!$B$48:$B$55,$B47,'9.Инвестиционна програма'!I$48:I$55)*$E$5</f>
        <v>0</v>
      </c>
      <c r="X47" s="932">
        <f>SUMIF('9.Инвестиционна програма'!$B$48:$B$55,$B47,'9.Инвестиционна програма'!J$48:J$55)*$E$5</f>
        <v>0</v>
      </c>
      <c r="Y47" s="932">
        <f>SUMIF('9.Инвестиционна програма'!$B$48:$B$55,$B47,'9.Инвестиционна програма'!K$48:K$55)*$E$5</f>
        <v>0</v>
      </c>
      <c r="Z47" s="931">
        <f>'11.2. Нови активи отч.год.'!Z48</f>
        <v>0</v>
      </c>
      <c r="AA47" s="935">
        <f>(SUMIF('9.Инвестиционна програма'!$B$57:$B$58,$B47,'9.Инвестиционна програма'!F$57:F$58)+SUMIF('9.Инвестиционна програма'!$B$60:$B$67,$B47,'9.Инвестиционна програма'!F$60:F$67))*$E$5</f>
        <v>0</v>
      </c>
      <c r="AB47" s="932">
        <f>(SUMIF('9.Инвестиционна програма'!$B$57:$B$58,$B47,'9.Инвестиционна програма'!G$57:G$58)+SUMIF('9.Инвестиционна програма'!$B$60:$B$67,$B47,'9.Инвестиционна програма'!G$60:G$67))*$E$5</f>
        <v>65</v>
      </c>
      <c r="AC47" s="932">
        <f>(SUMIF('9.Инвестиционна програма'!$B$57:$B$58,$B47,'9.Инвестиционна програма'!H$57:H$58)+SUMIF('9.Инвестиционна програма'!$B$60:$B$67,$B47,'9.Инвестиционна програма'!H$60:H$67))*$E$5</f>
        <v>0</v>
      </c>
      <c r="AD47" s="932">
        <f>(SUMIF('9.Инвестиционна програма'!$B$57:$B$58,$B47,'9.Инвестиционна програма'!I$57:I$58)+SUMIF('9.Инвестиционна програма'!$B$60:$B$67,$B47,'9.Инвестиционна програма'!I$60:I$67))*$E$5</f>
        <v>0</v>
      </c>
      <c r="AE47" s="932">
        <f>(SUMIF('9.Инвестиционна програма'!$B$57:$B$58,$B47,'9.Инвестиционна програма'!J$57:J$58)+SUMIF('9.Инвестиционна програма'!$B$60:$B$67,$B47,'9.Инвестиционна програма'!J$60:J$67))*$E$5</f>
        <v>0</v>
      </c>
      <c r="AF47" s="938">
        <f>(SUMIF('9.Инвестиционна програма'!$B$57:$B$58,$B47,'9.Инвестиционна програма'!K$57:K$58)+SUMIF('9.Инвестиционна програма'!$B$60:$B$67,$B47,'9.Инвестиционна програма'!K$60:K$67))*$E$5</f>
        <v>0</v>
      </c>
      <c r="AG47" s="306"/>
      <c r="AH47" s="564"/>
    </row>
    <row r="48" spans="1:34">
      <c r="A48" s="897"/>
      <c r="B48" s="1555">
        <v>20504</v>
      </c>
      <c r="C48" s="1554">
        <v>0.1</v>
      </c>
      <c r="D48" s="1546" t="s">
        <v>759</v>
      </c>
      <c r="E48" s="930">
        <f>'11.2. Нови активи отч.год.'!E49</f>
        <v>0</v>
      </c>
      <c r="F48" s="886">
        <f>SUMIF('9.Инвестиционна програма'!$B$11:$B$34,$B48,'9.Инвестиционна програма'!F$11:F$34)*$E$5</f>
        <v>0</v>
      </c>
      <c r="G48" s="887">
        <f>SUMIF('9.Инвестиционна програма'!$B$11:$B$34,$B48,'9.Инвестиционна програма'!G$11:G$34)*$E$5</f>
        <v>0</v>
      </c>
      <c r="H48" s="887">
        <f>SUMIF('9.Инвестиционна програма'!$B$11:$B$34,$B48,'9.Инвестиционна програма'!H$11:H$34)*$E$5</f>
        <v>0</v>
      </c>
      <c r="I48" s="887">
        <f>SUMIF('9.Инвестиционна програма'!$B$11:$B$34,$B48,'9.Инвестиционна програма'!I$11:I$34)*$E$5</f>
        <v>0</v>
      </c>
      <c r="J48" s="887">
        <f>SUMIF('9.Инвестиционна програма'!$B$11:$B$34,$B48,'9.Инвестиционна програма'!J$11:J$34)*$E$5</f>
        <v>0</v>
      </c>
      <c r="K48" s="888">
        <f>SUMIF('9.Инвестиционна програма'!$B$11:$B$34,$B48,'9.Инвестиционна програма'!K$11:K$34)*$E$5</f>
        <v>0</v>
      </c>
      <c r="L48" s="1442">
        <f>'11.2. Нови активи отч.год.'!L49</f>
        <v>0</v>
      </c>
      <c r="M48" s="935">
        <f>SUMIF('9.Инвестиционна програма'!$B$36:$B$46,$B48,'9.Инвестиционна програма'!F$36:F$46)*$E$5</f>
        <v>0</v>
      </c>
      <c r="N48" s="936">
        <f>SUMIF('9.Инвестиционна програма'!$B$36:$B$46,$B48,'9.Инвестиционна програма'!G$36:G$46)*$E$5</f>
        <v>0</v>
      </c>
      <c r="O48" s="936">
        <f>SUMIF('9.Инвестиционна програма'!$B$36:$B$46,$B48,'9.Инвестиционна програма'!H$36:H$46)*$E$5</f>
        <v>0</v>
      </c>
      <c r="P48" s="936">
        <f>SUMIF('9.Инвестиционна програма'!$B$36:$B$46,$B48,'9.Инвестиционна програма'!I$36:I$46)*$E$5</f>
        <v>0</v>
      </c>
      <c r="Q48" s="936">
        <f>SUMIF('9.Инвестиционна програма'!$B$36:$B$46,$B48,'9.Инвестиционна програма'!J$36:J$46)*$E$5</f>
        <v>0</v>
      </c>
      <c r="R48" s="937">
        <f>SUMIF('9.Инвестиционна програма'!$B$36:$B$46,$B48,'9.Инвестиционна програма'!K$36:K$46)*$E$5</f>
        <v>0</v>
      </c>
      <c r="S48" s="931">
        <f>'11.2. Нови активи отч.год.'!S49</f>
        <v>0</v>
      </c>
      <c r="T48" s="932">
        <f>SUMIF('9.Инвестиционна програма'!$B$48:$B$55,$B48,'9.Инвестиционна програма'!F$48:F$55)*$E$5</f>
        <v>0</v>
      </c>
      <c r="U48" s="932">
        <f>SUMIF('9.Инвестиционна програма'!$B$48:$B$55,$B48,'9.Инвестиционна програма'!G$48:G$55)*$E$5</f>
        <v>0</v>
      </c>
      <c r="V48" s="932">
        <f>SUMIF('9.Инвестиционна програма'!$B$48:$B$55,$B48,'9.Инвестиционна програма'!H$48:H$55)*$E$5</f>
        <v>0</v>
      </c>
      <c r="W48" s="932">
        <f>SUMIF('9.Инвестиционна програма'!$B$48:$B$55,$B48,'9.Инвестиционна програма'!I$48:I$55)*$E$5</f>
        <v>0</v>
      </c>
      <c r="X48" s="932">
        <f>SUMIF('9.Инвестиционна програма'!$B$48:$B$55,$B48,'9.Инвестиционна програма'!J$48:J$55)*$E$5</f>
        <v>0</v>
      </c>
      <c r="Y48" s="932">
        <f>SUMIF('9.Инвестиционна програма'!$B$48:$B$55,$B48,'9.Инвестиционна програма'!K$48:K$55)*$E$5</f>
        <v>0</v>
      </c>
      <c r="Z48" s="931">
        <f>'11.2. Нови активи отч.год.'!Z49</f>
        <v>0</v>
      </c>
      <c r="AA48" s="935">
        <f>(SUMIF('9.Инвестиционна програма'!$B$57:$B$58,$B48,'9.Инвестиционна програма'!F$57:F$58)+SUMIF('9.Инвестиционна програма'!$B$60:$B$67,$B48,'9.Инвестиционна програма'!F$60:F$67))*$E$5</f>
        <v>0</v>
      </c>
      <c r="AB48" s="932">
        <f>(SUMIF('9.Инвестиционна програма'!$B$57:$B$58,$B48,'9.Инвестиционна програма'!G$57:G$58)+SUMIF('9.Инвестиционна програма'!$B$60:$B$67,$B48,'9.Инвестиционна програма'!G$60:G$67))*$E$5</f>
        <v>0</v>
      </c>
      <c r="AC48" s="932">
        <f>(SUMIF('9.Инвестиционна програма'!$B$57:$B$58,$B48,'9.Инвестиционна програма'!H$57:H$58)+SUMIF('9.Инвестиционна програма'!$B$60:$B$67,$B48,'9.Инвестиционна програма'!H$60:H$67))*$E$5</f>
        <v>0</v>
      </c>
      <c r="AD48" s="932">
        <f>(SUMIF('9.Инвестиционна програма'!$B$57:$B$58,$B48,'9.Инвестиционна програма'!I$57:I$58)+SUMIF('9.Инвестиционна програма'!$B$60:$B$67,$B48,'9.Инвестиционна програма'!I$60:I$67))*$E$5</f>
        <v>0</v>
      </c>
      <c r="AE48" s="932">
        <f>(SUMIF('9.Инвестиционна програма'!$B$57:$B$58,$B48,'9.Инвестиционна програма'!J$57:J$58)+SUMIF('9.Инвестиционна програма'!$B$60:$B$67,$B48,'9.Инвестиционна програма'!J$60:J$67))*$E$5</f>
        <v>0</v>
      </c>
      <c r="AF48" s="938">
        <f>(SUMIF('9.Инвестиционна програма'!$B$57:$B$58,$B48,'9.Инвестиционна програма'!K$57:K$58)+SUMIF('9.Инвестиционна програма'!$B$60:$B$67,$B48,'9.Инвестиционна програма'!K$60:K$67))*$E$5</f>
        <v>0</v>
      </c>
      <c r="AG48" s="306"/>
      <c r="AH48" s="564"/>
    </row>
    <row r="49" spans="1:34">
      <c r="A49" s="942">
        <v>6</v>
      </c>
      <c r="B49" s="1738">
        <v>206</v>
      </c>
      <c r="C49" s="1739">
        <v>0.1</v>
      </c>
      <c r="D49" s="1736" t="s">
        <v>564</v>
      </c>
      <c r="E49" s="955">
        <f>SUM(E50:E52)</f>
        <v>7</v>
      </c>
      <c r="F49" s="956">
        <f>SUM(F50:F52)</f>
        <v>0</v>
      </c>
      <c r="G49" s="895">
        <f>SUM(G50:G52)</f>
        <v>0</v>
      </c>
      <c r="H49" s="895">
        <f t="shared" ref="H49:AF49" si="11">SUM(H50:H52)</f>
        <v>0</v>
      </c>
      <c r="I49" s="895">
        <f t="shared" si="11"/>
        <v>0</v>
      </c>
      <c r="J49" s="895">
        <f t="shared" si="11"/>
        <v>0</v>
      </c>
      <c r="K49" s="896">
        <f t="shared" si="11"/>
        <v>0</v>
      </c>
      <c r="L49" s="1988">
        <f>SUM(L50:L52)</f>
        <v>1</v>
      </c>
      <c r="M49" s="890">
        <f t="shared" si="11"/>
        <v>0</v>
      </c>
      <c r="N49" s="891">
        <f t="shared" si="11"/>
        <v>0</v>
      </c>
      <c r="O49" s="891">
        <f t="shared" si="11"/>
        <v>0</v>
      </c>
      <c r="P49" s="891">
        <f t="shared" si="11"/>
        <v>0</v>
      </c>
      <c r="Q49" s="891">
        <f t="shared" si="11"/>
        <v>0</v>
      </c>
      <c r="R49" s="892">
        <f t="shared" si="11"/>
        <v>0</v>
      </c>
      <c r="S49" s="957">
        <f t="shared" si="11"/>
        <v>0</v>
      </c>
      <c r="T49" s="893">
        <f t="shared" si="11"/>
        <v>0</v>
      </c>
      <c r="U49" s="891">
        <f t="shared" si="11"/>
        <v>0</v>
      </c>
      <c r="V49" s="891">
        <f t="shared" si="11"/>
        <v>0</v>
      </c>
      <c r="W49" s="891">
        <f t="shared" si="11"/>
        <v>0</v>
      </c>
      <c r="X49" s="891">
        <f t="shared" si="11"/>
        <v>0</v>
      </c>
      <c r="Y49" s="892">
        <f t="shared" si="11"/>
        <v>0</v>
      </c>
      <c r="Z49" s="957">
        <f t="shared" si="11"/>
        <v>0</v>
      </c>
      <c r="AA49" s="894">
        <f t="shared" si="11"/>
        <v>0</v>
      </c>
      <c r="AB49" s="895">
        <f t="shared" si="11"/>
        <v>63</v>
      </c>
      <c r="AC49" s="895">
        <f t="shared" si="11"/>
        <v>10</v>
      </c>
      <c r="AD49" s="895">
        <f t="shared" si="11"/>
        <v>10</v>
      </c>
      <c r="AE49" s="895">
        <f t="shared" si="11"/>
        <v>10</v>
      </c>
      <c r="AF49" s="896">
        <f t="shared" si="11"/>
        <v>10</v>
      </c>
      <c r="AH49" s="564"/>
    </row>
    <row r="50" spans="1:34">
      <c r="A50" s="942"/>
      <c r="B50" s="1555">
        <v>20601</v>
      </c>
      <c r="C50" s="1554">
        <v>0.1</v>
      </c>
      <c r="D50" s="1546" t="s">
        <v>766</v>
      </c>
      <c r="E50" s="930">
        <f>'11.2. Нови активи отч.год.'!E51</f>
        <v>7</v>
      </c>
      <c r="F50" s="886">
        <f>SUMIF('9.Инвестиционна програма'!$B$11:$B$34,$B50,'9.Инвестиционна програма'!F$11:F$34)*$E$5</f>
        <v>0</v>
      </c>
      <c r="G50" s="887">
        <f>SUMIF('9.Инвестиционна програма'!$B$11:$B$34,$B50,'9.Инвестиционна програма'!G$11:G$34)*$E$5</f>
        <v>0</v>
      </c>
      <c r="H50" s="887">
        <f>SUMIF('9.Инвестиционна програма'!$B$11:$B$34,$B50,'9.Инвестиционна програма'!H$11:H$34)*$E$5</f>
        <v>0</v>
      </c>
      <c r="I50" s="887">
        <f>SUMIF('9.Инвестиционна програма'!$B$11:$B$34,$B50,'9.Инвестиционна програма'!I$11:I$34)*$E$5</f>
        <v>0</v>
      </c>
      <c r="J50" s="887">
        <f>SUMIF('9.Инвестиционна програма'!$B$11:$B$34,$B50,'9.Инвестиционна програма'!J$11:J$34)*$E$5</f>
        <v>0</v>
      </c>
      <c r="K50" s="888">
        <f>SUMIF('9.Инвестиционна програма'!$B$11:$B$34,$B50,'9.Инвестиционна програма'!K$11:K$34)*$E$5</f>
        <v>0</v>
      </c>
      <c r="L50" s="1442">
        <f>'11.2. Нови активи отч.год.'!L51</f>
        <v>1</v>
      </c>
      <c r="M50" s="935">
        <f>SUMIF('9.Инвестиционна програма'!$B$36:$B$46,$B50,'9.Инвестиционна програма'!F$36:F$46)*$E$5</f>
        <v>0</v>
      </c>
      <c r="N50" s="936">
        <f>SUMIF('9.Инвестиционна програма'!$B$36:$B$46,$B50,'9.Инвестиционна програма'!G$36:G$46)*$E$5</f>
        <v>0</v>
      </c>
      <c r="O50" s="936">
        <f>SUMIF('9.Инвестиционна програма'!$B$36:$B$46,$B50,'9.Инвестиционна програма'!H$36:H$46)*$E$5</f>
        <v>0</v>
      </c>
      <c r="P50" s="936">
        <f>SUMIF('9.Инвестиционна програма'!$B$36:$B$46,$B50,'9.Инвестиционна програма'!I$36:I$46)*$E$5</f>
        <v>0</v>
      </c>
      <c r="Q50" s="936">
        <f>SUMIF('9.Инвестиционна програма'!$B$36:$B$46,$B50,'9.Инвестиционна програма'!J$36:J$46)*$E$5</f>
        <v>0</v>
      </c>
      <c r="R50" s="937">
        <f>SUMIF('9.Инвестиционна програма'!$B$36:$B$46,$B50,'9.Инвестиционна програма'!K$36:K$46)*$E$5</f>
        <v>0</v>
      </c>
      <c r="S50" s="931">
        <f>'11.2. Нови активи отч.год.'!S51</f>
        <v>0</v>
      </c>
      <c r="T50" s="932">
        <f>SUMIF('9.Инвестиционна програма'!$B$48:$B$55,$B50,'9.Инвестиционна програма'!F$48:F$55)*$E$5</f>
        <v>0</v>
      </c>
      <c r="U50" s="932">
        <f>SUMIF('9.Инвестиционна програма'!$B$48:$B$55,$B50,'9.Инвестиционна програма'!G$48:G$55)*$E$5</f>
        <v>0</v>
      </c>
      <c r="V50" s="932">
        <f>SUMIF('9.Инвестиционна програма'!$B$48:$B$55,$B50,'9.Инвестиционна програма'!H$48:H$55)*$E$5</f>
        <v>0</v>
      </c>
      <c r="W50" s="932">
        <f>SUMIF('9.Инвестиционна програма'!$B$48:$B$55,$B50,'9.Инвестиционна програма'!I$48:I$55)*$E$5</f>
        <v>0</v>
      </c>
      <c r="X50" s="932">
        <f>SUMIF('9.Инвестиционна програма'!$B$48:$B$55,$B50,'9.Инвестиционна програма'!J$48:J$55)*$E$5</f>
        <v>0</v>
      </c>
      <c r="Y50" s="932">
        <f>SUMIF('9.Инвестиционна програма'!$B$48:$B$55,$B50,'9.Инвестиционна програма'!K$48:K$55)*$E$5</f>
        <v>0</v>
      </c>
      <c r="Z50" s="931">
        <f>'11.2. Нови активи отч.год.'!Z51</f>
        <v>0</v>
      </c>
      <c r="AA50" s="935">
        <f>(SUMIF('9.Инвестиционна програма'!$B$57:$B$58,$B50,'9.Инвестиционна програма'!F$57:F$58)+SUMIF('9.Инвестиционна програма'!$B$60:$B$67,$B50,'9.Инвестиционна програма'!F$60:F$67))*$E$5</f>
        <v>0</v>
      </c>
      <c r="AB50" s="932">
        <f>(SUMIF('9.Инвестиционна програма'!$B$57:$B$58,$B50,'9.Инвестиционна програма'!G$57:G$58)+SUMIF('9.Инвестиционна програма'!$B$60:$B$67,$B50,'9.Инвестиционна програма'!G$60:G$67))*$E$5</f>
        <v>63</v>
      </c>
      <c r="AC50" s="932">
        <f>(SUMIF('9.Инвестиционна програма'!$B$57:$B$58,$B50,'9.Инвестиционна програма'!H$57:H$58)+SUMIF('9.Инвестиционна програма'!$B$60:$B$67,$B50,'9.Инвестиционна програма'!H$60:H$67))*$E$5</f>
        <v>10</v>
      </c>
      <c r="AD50" s="932">
        <f>(SUMIF('9.Инвестиционна програма'!$B$57:$B$58,$B50,'9.Инвестиционна програма'!I$57:I$58)+SUMIF('9.Инвестиционна програма'!$B$60:$B$67,$B50,'9.Инвестиционна програма'!I$60:I$67))*$E$5</f>
        <v>10</v>
      </c>
      <c r="AE50" s="932">
        <f>(SUMIF('9.Инвестиционна програма'!$B$57:$B$58,$B50,'9.Инвестиционна програма'!J$57:J$58)+SUMIF('9.Инвестиционна програма'!$B$60:$B$67,$B50,'9.Инвестиционна програма'!J$60:J$67))*$E$5</f>
        <v>10</v>
      </c>
      <c r="AF50" s="938">
        <f>(SUMIF('9.Инвестиционна програма'!$B$57:$B$58,$B50,'9.Инвестиционна програма'!K$57:K$58)+SUMIF('9.Инвестиционна програма'!$B$60:$B$67,$B50,'9.Инвестиционна програма'!K$60:K$67))*$E$5</f>
        <v>10</v>
      </c>
      <c r="AG50" s="306"/>
      <c r="AH50" s="564"/>
    </row>
    <row r="51" spans="1:34">
      <c r="A51" s="942"/>
      <c r="B51" s="1555">
        <v>20602</v>
      </c>
      <c r="C51" s="1554">
        <v>0.1</v>
      </c>
      <c r="D51" s="1546" t="s">
        <v>607</v>
      </c>
      <c r="E51" s="930">
        <f>'11.2. Нови активи отч.год.'!E52</f>
        <v>0</v>
      </c>
      <c r="F51" s="886">
        <f>SUMIF('9.Инвестиционна програма'!$B$11:$B$34,$B51,'9.Инвестиционна програма'!F$11:F$34)*$E$5</f>
        <v>0</v>
      </c>
      <c r="G51" s="887">
        <f>SUMIF('9.Инвестиционна програма'!$B$11:$B$34,$B51,'9.Инвестиционна програма'!G$11:G$34)*$E$5</f>
        <v>0</v>
      </c>
      <c r="H51" s="887">
        <f>SUMIF('9.Инвестиционна програма'!$B$11:$B$34,$B51,'9.Инвестиционна програма'!H$11:H$34)*$E$5</f>
        <v>0</v>
      </c>
      <c r="I51" s="887">
        <f>SUMIF('9.Инвестиционна програма'!$B$11:$B$34,$B51,'9.Инвестиционна програма'!I$11:I$34)*$E$5</f>
        <v>0</v>
      </c>
      <c r="J51" s="887">
        <f>SUMIF('9.Инвестиционна програма'!$B$11:$B$34,$B51,'9.Инвестиционна програма'!J$11:J$34)*$E$5</f>
        <v>0</v>
      </c>
      <c r="K51" s="888">
        <f>SUMIF('9.Инвестиционна програма'!$B$11:$B$34,$B51,'9.Инвестиционна програма'!K$11:K$34)*$E$5</f>
        <v>0</v>
      </c>
      <c r="L51" s="1442">
        <f>'11.2. Нови активи отч.год.'!L52</f>
        <v>0</v>
      </c>
      <c r="M51" s="935">
        <f>SUMIF('9.Инвестиционна програма'!$B$36:$B$46,$B51,'9.Инвестиционна програма'!F$36:F$46)*$E$5</f>
        <v>0</v>
      </c>
      <c r="N51" s="936">
        <f>SUMIF('9.Инвестиционна програма'!$B$36:$B$46,$B51,'9.Инвестиционна програма'!G$36:G$46)*$E$5</f>
        <v>0</v>
      </c>
      <c r="O51" s="936">
        <f>SUMIF('9.Инвестиционна програма'!$B$36:$B$46,$B51,'9.Инвестиционна програма'!H$36:H$46)*$E$5</f>
        <v>0</v>
      </c>
      <c r="P51" s="936">
        <f>SUMIF('9.Инвестиционна програма'!$B$36:$B$46,$B51,'9.Инвестиционна програма'!I$36:I$46)*$E$5</f>
        <v>0</v>
      </c>
      <c r="Q51" s="936">
        <f>SUMIF('9.Инвестиционна програма'!$B$36:$B$46,$B51,'9.Инвестиционна програма'!J$36:J$46)*$E$5</f>
        <v>0</v>
      </c>
      <c r="R51" s="937">
        <f>SUMIF('9.Инвестиционна програма'!$B$36:$B$46,$B51,'9.Инвестиционна програма'!K$36:K$46)*$E$5</f>
        <v>0</v>
      </c>
      <c r="S51" s="931">
        <f>'11.2. Нови активи отч.год.'!S52</f>
        <v>0</v>
      </c>
      <c r="T51" s="932">
        <f>SUMIF('9.Инвестиционна програма'!$B$48:$B$55,$B51,'9.Инвестиционна програма'!F$48:F$55)*$E$5</f>
        <v>0</v>
      </c>
      <c r="U51" s="932">
        <f>SUMIF('9.Инвестиционна програма'!$B$48:$B$55,$B51,'9.Инвестиционна програма'!G$48:G$55)*$E$5</f>
        <v>0</v>
      </c>
      <c r="V51" s="932">
        <f>SUMIF('9.Инвестиционна програма'!$B$48:$B$55,$B51,'9.Инвестиционна програма'!H$48:H$55)*$E$5</f>
        <v>0</v>
      </c>
      <c r="W51" s="932">
        <f>SUMIF('9.Инвестиционна програма'!$B$48:$B$55,$B51,'9.Инвестиционна програма'!I$48:I$55)*$E$5</f>
        <v>0</v>
      </c>
      <c r="X51" s="932">
        <f>SUMIF('9.Инвестиционна програма'!$B$48:$B$55,$B51,'9.Инвестиционна програма'!J$48:J$55)*$E$5</f>
        <v>0</v>
      </c>
      <c r="Y51" s="932">
        <f>SUMIF('9.Инвестиционна програма'!$B$48:$B$55,$B51,'9.Инвестиционна програма'!K$48:K$55)*$E$5</f>
        <v>0</v>
      </c>
      <c r="Z51" s="931">
        <f>'11.2. Нови активи отч.год.'!Z52</f>
        <v>0</v>
      </c>
      <c r="AA51" s="935">
        <f>(SUMIF('9.Инвестиционна програма'!$B$57:$B$58,$B51,'9.Инвестиционна програма'!F$57:F$58)+SUMIF('9.Инвестиционна програма'!$B$60:$B$67,$B51,'9.Инвестиционна програма'!F$60:F$67))*$E$5</f>
        <v>0</v>
      </c>
      <c r="AB51" s="932">
        <f>(SUMIF('9.Инвестиционна програма'!$B$57:$B$58,$B51,'9.Инвестиционна програма'!G$57:G$58)+SUMIF('9.Инвестиционна програма'!$B$60:$B$67,$B51,'9.Инвестиционна програма'!G$60:G$67))*$E$5</f>
        <v>0</v>
      </c>
      <c r="AC51" s="932">
        <f>(SUMIF('9.Инвестиционна програма'!$B$57:$B$58,$B51,'9.Инвестиционна програма'!H$57:H$58)+SUMIF('9.Инвестиционна програма'!$B$60:$B$67,$B51,'9.Инвестиционна програма'!H$60:H$67))*$E$5</f>
        <v>0</v>
      </c>
      <c r="AD51" s="932">
        <f>(SUMIF('9.Инвестиционна програма'!$B$57:$B$58,$B51,'9.Инвестиционна програма'!I$57:I$58)+SUMIF('9.Инвестиционна програма'!$B$60:$B$67,$B51,'9.Инвестиционна програма'!I$60:I$67))*$E$5</f>
        <v>0</v>
      </c>
      <c r="AE51" s="932">
        <f>(SUMIF('9.Инвестиционна програма'!$B$57:$B$58,$B51,'9.Инвестиционна програма'!J$57:J$58)+SUMIF('9.Инвестиционна програма'!$B$60:$B$67,$B51,'9.Инвестиционна програма'!J$60:J$67))*$E$5</f>
        <v>0</v>
      </c>
      <c r="AF51" s="938">
        <f>(SUMIF('9.Инвестиционна програма'!$B$57:$B$58,$B51,'9.Инвестиционна програма'!K$57:K$58)+SUMIF('9.Инвестиционна програма'!$B$60:$B$67,$B51,'9.Инвестиционна програма'!K$60:K$67))*$E$5</f>
        <v>0</v>
      </c>
      <c r="AG51" s="306"/>
      <c r="AH51" s="564"/>
    </row>
    <row r="52" spans="1:34">
      <c r="A52" s="942"/>
      <c r="B52" s="1740">
        <v>20603</v>
      </c>
      <c r="C52" s="1741">
        <v>0.5</v>
      </c>
      <c r="D52" s="1742" t="s">
        <v>1441</v>
      </c>
      <c r="E52" s="1442">
        <f>'11.2. Нови активи отч.год.'!E53</f>
        <v>0</v>
      </c>
      <c r="F52" s="886">
        <f>SUMIF('9.Инвестиционна програма'!$B$11:$B$34,$B52,'9.Инвестиционна програма'!F$11:F$34)*$E$5</f>
        <v>0</v>
      </c>
      <c r="G52" s="887">
        <f>SUMIF('9.Инвестиционна програма'!$B$11:$B$34,$B52,'9.Инвестиционна програма'!G$11:G$34)*$E$5</f>
        <v>0</v>
      </c>
      <c r="H52" s="887">
        <f>SUMIF('9.Инвестиционна програма'!$B$11:$B$34,$B52,'9.Инвестиционна програма'!H$11:H$34)*$E$5</f>
        <v>0</v>
      </c>
      <c r="I52" s="887">
        <f>SUMIF('9.Инвестиционна програма'!$B$11:$B$34,$B52,'9.Инвестиционна програма'!I$11:I$34)*$E$5</f>
        <v>0</v>
      </c>
      <c r="J52" s="887">
        <f>SUMIF('9.Инвестиционна програма'!$B$11:$B$34,$B52,'9.Инвестиционна програма'!J$11:J$34)*$E$5</f>
        <v>0</v>
      </c>
      <c r="K52" s="888">
        <f>SUMIF('9.Инвестиционна програма'!$B$11:$B$34,$B52,'9.Инвестиционна програма'!K$11:K$34)*$E$5</f>
        <v>0</v>
      </c>
      <c r="L52" s="1442">
        <f>'11.2. Нови активи отч.год.'!L53</f>
        <v>0</v>
      </c>
      <c r="M52" s="935">
        <f>SUMIF('9.Инвестиционна програма'!$B$36:$B$46,$B52,'9.Инвестиционна програма'!F$36:F$46)*$E$5</f>
        <v>0</v>
      </c>
      <c r="N52" s="936">
        <f>SUMIF('9.Инвестиционна програма'!$B$36:$B$46,$B52,'9.Инвестиционна програма'!G$36:G$46)*$E$5</f>
        <v>0</v>
      </c>
      <c r="O52" s="936">
        <f>SUMIF('9.Инвестиционна програма'!$B$36:$B$46,$B52,'9.Инвестиционна програма'!H$36:H$46)*$E$5</f>
        <v>0</v>
      </c>
      <c r="P52" s="936">
        <f>SUMIF('9.Инвестиционна програма'!$B$36:$B$46,$B52,'9.Инвестиционна програма'!I$36:I$46)*$E$5</f>
        <v>0</v>
      </c>
      <c r="Q52" s="936">
        <f>SUMIF('9.Инвестиционна програма'!$B$36:$B$46,$B52,'9.Инвестиционна програма'!J$36:J$46)*$E$5</f>
        <v>0</v>
      </c>
      <c r="R52" s="937">
        <f>SUMIF('9.Инвестиционна програма'!$B$36:$B$46,$B52,'9.Инвестиционна програма'!K$36:K$46)*$E$5</f>
        <v>0</v>
      </c>
      <c r="S52" s="931">
        <f>'11.2. Нови активи отч.год.'!S53</f>
        <v>0</v>
      </c>
      <c r="T52" s="932">
        <f>SUMIF('9.Инвестиционна програма'!$B$48:$B$55,$B52,'9.Инвестиционна програма'!F$48:F$55)*$E$5</f>
        <v>0</v>
      </c>
      <c r="U52" s="932">
        <f>SUMIF('9.Инвестиционна програма'!$B$48:$B$55,$B52,'9.Инвестиционна програма'!G$48:G$55)*$E$5</f>
        <v>0</v>
      </c>
      <c r="V52" s="932">
        <f>SUMIF('9.Инвестиционна програма'!$B$48:$B$55,$B52,'9.Инвестиционна програма'!H$48:H$55)*$E$5</f>
        <v>0</v>
      </c>
      <c r="W52" s="932">
        <f>SUMIF('9.Инвестиционна програма'!$B$48:$B$55,$B52,'9.Инвестиционна програма'!I$48:I$55)*$E$5</f>
        <v>0</v>
      </c>
      <c r="X52" s="932">
        <f>SUMIF('9.Инвестиционна програма'!$B$48:$B$55,$B52,'9.Инвестиционна програма'!J$48:J$55)*$E$5</f>
        <v>0</v>
      </c>
      <c r="Y52" s="932">
        <f>SUMIF('9.Инвестиционна програма'!$B$48:$B$55,$B52,'9.Инвестиционна програма'!K$48:K$55)*$E$5</f>
        <v>0</v>
      </c>
      <c r="Z52" s="931">
        <f>'11.2. Нови активи отч.год.'!Z53</f>
        <v>0</v>
      </c>
      <c r="AA52" s="935">
        <f>(SUMIF('9.Инвестиционна програма'!$B$57:$B$58,$B52,'9.Инвестиционна програма'!F$57:F$58)+SUMIF('9.Инвестиционна програма'!$B$60:$B$67,$B52,'9.Инвестиционна програма'!F$60:F$67))*$E$5</f>
        <v>0</v>
      </c>
      <c r="AB52" s="932">
        <f>(SUMIF('9.Инвестиционна програма'!$B$57:$B$58,$B52,'9.Инвестиционна програма'!G$57:G$58)+SUMIF('9.Инвестиционна програма'!$B$60:$B$67,$B52,'9.Инвестиционна програма'!G$60:G$67))*$E$5</f>
        <v>0</v>
      </c>
      <c r="AC52" s="932">
        <f>(SUMIF('9.Инвестиционна програма'!$B$57:$B$58,$B52,'9.Инвестиционна програма'!H$57:H$58)+SUMIF('9.Инвестиционна програма'!$B$60:$B$67,$B52,'9.Инвестиционна програма'!H$60:H$67))*$E$5</f>
        <v>0</v>
      </c>
      <c r="AD52" s="932">
        <f>(SUMIF('9.Инвестиционна програма'!$B$57:$B$58,$B52,'9.Инвестиционна програма'!I$57:I$58)+SUMIF('9.Инвестиционна програма'!$B$60:$B$67,$B52,'9.Инвестиционна програма'!I$60:I$67))*$E$5</f>
        <v>0</v>
      </c>
      <c r="AE52" s="932">
        <f>(SUMIF('9.Инвестиционна програма'!$B$57:$B$58,$B52,'9.Инвестиционна програма'!J$57:J$58)+SUMIF('9.Инвестиционна програма'!$B$60:$B$67,$B52,'9.Инвестиционна програма'!J$60:J$67))*$E$5</f>
        <v>0</v>
      </c>
      <c r="AF52" s="938">
        <f>(SUMIF('9.Инвестиционна програма'!$B$57:$B$58,$B52,'9.Инвестиционна програма'!K$57:K$58)+SUMIF('9.Инвестиционна програма'!$B$60:$B$67,$B52,'9.Инвестиционна програма'!K$60:K$67))*$E$5</f>
        <v>0</v>
      </c>
      <c r="AG52" s="306"/>
      <c r="AH52" s="564"/>
    </row>
    <row r="53" spans="1:34" s="261" customFormat="1">
      <c r="A53" s="942">
        <v>7</v>
      </c>
      <c r="B53" s="1738">
        <v>208</v>
      </c>
      <c r="C53" s="1739">
        <v>0.2</v>
      </c>
      <c r="D53" s="1736" t="s">
        <v>585</v>
      </c>
      <c r="E53" s="930">
        <f>'11.2. Нови активи отч.год.'!E54</f>
        <v>14</v>
      </c>
      <c r="F53" s="958">
        <f>SUMIF('9.Инвестиционна програма'!$B$11:$B$34,$B53,'9.Инвестиционна програма'!F$11:F$34)*$E$5</f>
        <v>0</v>
      </c>
      <c r="G53" s="959">
        <f>SUMIF('9.Инвестиционна програма'!$B$11:$B$34,$B53,'9.Инвестиционна програма'!G$11:G$34)*$E$5</f>
        <v>0</v>
      </c>
      <c r="H53" s="959">
        <f>SUMIF('9.Инвестиционна програма'!$B$11:$B$34,$B53,'9.Инвестиционна програма'!H$11:H$34)*$E$5</f>
        <v>0</v>
      </c>
      <c r="I53" s="959">
        <f>SUMIF('9.Инвестиционна програма'!$B$11:$B$34,$B53,'9.Инвестиционна програма'!I$11:I$34)*$E$5</f>
        <v>0</v>
      </c>
      <c r="J53" s="959">
        <f>SUMIF('9.Инвестиционна програма'!$B$11:$B$34,$B53,'9.Инвестиционна програма'!J$11:J$34)*$E$5</f>
        <v>0</v>
      </c>
      <c r="K53" s="960">
        <f>SUMIF('9.Инвестиционна програма'!$B$11:$B$34,$B53,'9.Инвестиционна програма'!K$11:K$34)*$E$5</f>
        <v>0</v>
      </c>
      <c r="L53" s="961">
        <f>'11.2. Нови активи отч.год.'!L54</f>
        <v>0</v>
      </c>
      <c r="M53" s="958">
        <f>SUMIF('9.Инвестиционна програма'!$B$36:$B$46,$B53,'9.Инвестиционна програма'!F$36:F$46)*$E$5</f>
        <v>0</v>
      </c>
      <c r="N53" s="959">
        <f>SUMIF('9.Инвестиционна програма'!$B$36:$B$46,$B53,'9.Инвестиционна програма'!G$36:G$46)*$E$5</f>
        <v>0</v>
      </c>
      <c r="O53" s="959">
        <f>SUMIF('9.Инвестиционна програма'!$B$36:$B$46,$B53,'9.Инвестиционна програма'!H$36:H$46)*$E$5</f>
        <v>0</v>
      </c>
      <c r="P53" s="959">
        <f>SUMIF('9.Инвестиционна програма'!$B$36:$B$46,$B53,'9.Инвестиционна програма'!I$36:I$46)*$E$5</f>
        <v>0</v>
      </c>
      <c r="Q53" s="959">
        <f>SUMIF('9.Инвестиционна програма'!$B$36:$B$46,$B53,'9.Инвестиционна програма'!J$36:J$46)*$E$5</f>
        <v>0</v>
      </c>
      <c r="R53" s="962">
        <f>SUMIF('9.Инвестиционна програма'!$B$36:$B$46,$B53,'9.Инвестиционна програма'!K$36:K$46)*$E$5</f>
        <v>0</v>
      </c>
      <c r="S53" s="931">
        <f>'11.2. Нови активи отч.год.'!S54</f>
        <v>0</v>
      </c>
      <c r="T53" s="963">
        <f>SUMIF('9.Инвестиционна програма'!$B$48:$B$55,$B53,'9.Инвестиционна програма'!F$48:F$55)*$E$5</f>
        <v>0</v>
      </c>
      <c r="U53" s="959">
        <f>SUMIF('9.Инвестиционна програма'!$B$48:$B$55,$B53,'9.Инвестиционна програма'!G$48:G$55)*$E$5</f>
        <v>0</v>
      </c>
      <c r="V53" s="959">
        <f>SUMIF('9.Инвестиционна програма'!$B$48:$B$55,$B53,'9.Инвестиционна програма'!H$48:H$55)*$E$5</f>
        <v>0</v>
      </c>
      <c r="W53" s="959">
        <f>SUMIF('9.Инвестиционна програма'!$B$48:$B$55,$B53,'9.Инвестиционна програма'!I$48:I$55)*$E$5</f>
        <v>0</v>
      </c>
      <c r="X53" s="959">
        <f>SUMIF('9.Инвестиционна програма'!$B$48:$B$55,$B53,'9.Инвестиционна програма'!J$48:J$55)*$E$5</f>
        <v>0</v>
      </c>
      <c r="Y53" s="962">
        <f>SUMIF('9.Инвестиционна програма'!$B$48:$B$55,$B53,'9.Инвестиционна програма'!K$48:K$55)*$E$5</f>
        <v>0</v>
      </c>
      <c r="Z53" s="931">
        <f>'11.2. Нови активи отч.год.'!Z54</f>
        <v>0</v>
      </c>
      <c r="AA53" s="963">
        <f>(SUMIF('9.Инвестиционна програма'!$B$57:$B$58,$B53,'9.Инвестиционна програма'!F$57:F$58)+SUMIF('9.Инвестиционна програма'!$B$60:$B$67,$B53,'9.Инвестиционна програма'!F$60:F$67))*$E$5</f>
        <v>0</v>
      </c>
      <c r="AB53" s="959">
        <f>(SUMIF('9.Инвестиционна програма'!$B$57:$B$58,$B53,'9.Инвестиционна програма'!G$57:G$58)+SUMIF('9.Инвестиционна програма'!$B$60:$B$67,$B53,'9.Инвестиционна програма'!G$60:G$67))*$E$5</f>
        <v>0</v>
      </c>
      <c r="AC53" s="959">
        <f>(SUMIF('9.Инвестиционна програма'!$B$57:$B$58,$B53,'9.Инвестиционна програма'!H$57:H$58)+SUMIF('9.Инвестиционна програма'!$B$60:$B$67,$B53,'9.Инвестиционна програма'!H$60:H$67))*$E$5</f>
        <v>60</v>
      </c>
      <c r="AD53" s="959">
        <f>(SUMIF('9.Инвестиционна програма'!$B$57:$B$58,$B53,'9.Инвестиционна програма'!I$57:I$58)+SUMIF('9.Инвестиционна програма'!$B$60:$B$67,$B53,'9.Инвестиционна програма'!I$60:I$67))*$E$5</f>
        <v>50</v>
      </c>
      <c r="AE53" s="959">
        <f>(SUMIF('9.Инвестиционна програма'!$B$57:$B$58,$B53,'9.Инвестиционна програма'!J$57:J$58)+SUMIF('9.Инвестиционна програма'!$B$60:$B$67,$B53,'9.Инвестиционна програма'!J$60:J$67))*$E$5</f>
        <v>30</v>
      </c>
      <c r="AF53" s="962">
        <f>(SUMIF('9.Инвестиционна програма'!$B$57:$B$58,$B53,'9.Инвестиционна програма'!K$57:K$58)+SUMIF('9.Инвестиционна програма'!$B$60:$B$67,$B53,'9.Инвестиционна програма'!K$60:K$67))*$E$5</f>
        <v>30</v>
      </c>
      <c r="AG53" s="306"/>
      <c r="AH53" s="563"/>
    </row>
    <row r="54" spans="1:34" s="261" customFormat="1">
      <c r="A54" s="942">
        <v>8</v>
      </c>
      <c r="B54" s="1738">
        <v>209</v>
      </c>
      <c r="C54" s="1739">
        <v>0.1</v>
      </c>
      <c r="D54" s="1736" t="s">
        <v>276</v>
      </c>
      <c r="E54" s="930">
        <f>'11.2. Нови активи отч.год.'!E55</f>
        <v>0</v>
      </c>
      <c r="F54" s="958">
        <f>SUMIF('9.Инвестиционна програма'!$B$11:$B$34,$B54,'9.Инвестиционна програма'!F$11:F$34)*$E$5</f>
        <v>0</v>
      </c>
      <c r="G54" s="959">
        <f>SUMIF('9.Инвестиционна програма'!$B$11:$B$34,$B54,'9.Инвестиционна програма'!G$11:G$34)*$E$5</f>
        <v>0</v>
      </c>
      <c r="H54" s="959">
        <f>SUMIF('9.Инвестиционна програма'!$B$11:$B$34,$B54,'9.Инвестиционна програма'!H$11:H$34)*$E$5</f>
        <v>0</v>
      </c>
      <c r="I54" s="959">
        <f>SUMIF('9.Инвестиционна програма'!$B$11:$B$34,$B54,'9.Инвестиционна програма'!I$11:I$34)*$E$5</f>
        <v>0</v>
      </c>
      <c r="J54" s="959">
        <f>SUMIF('9.Инвестиционна програма'!$B$11:$B$34,$B54,'9.Инвестиционна програма'!J$11:J$34)*$E$5</f>
        <v>0</v>
      </c>
      <c r="K54" s="960">
        <f>SUMIF('9.Инвестиционна програма'!$B$11:$B$34,$B54,'9.Инвестиционна програма'!K$11:K$34)*$E$5</f>
        <v>0</v>
      </c>
      <c r="L54" s="931">
        <f>'11.2. Нови активи отч.год.'!L55</f>
        <v>0</v>
      </c>
      <c r="M54" s="958">
        <f>SUMIF('9.Инвестиционна програма'!$B$36:$B$46,$B54,'9.Инвестиционна програма'!F$36:F$46)*$E$5</f>
        <v>0</v>
      </c>
      <c r="N54" s="959">
        <f>SUMIF('9.Инвестиционна програма'!$B$36:$B$46,$B54,'9.Инвестиционна програма'!G$36:G$46)*$E$5</f>
        <v>0</v>
      </c>
      <c r="O54" s="959">
        <f>SUMIF('9.Инвестиционна програма'!$B$36:$B$46,$B54,'9.Инвестиционна програма'!H$36:H$46)*$E$5</f>
        <v>0</v>
      </c>
      <c r="P54" s="959">
        <f>SUMIF('9.Инвестиционна програма'!$B$36:$B$46,$B54,'9.Инвестиционна програма'!I$36:I$46)*$E$5</f>
        <v>0</v>
      </c>
      <c r="Q54" s="959">
        <f>SUMIF('9.Инвестиционна програма'!$B$36:$B$46,$B54,'9.Инвестиционна програма'!J$36:J$46)*$E$5</f>
        <v>0</v>
      </c>
      <c r="R54" s="962">
        <f>SUMIF('9.Инвестиционна програма'!$B$36:$B$46,$B54,'9.Инвестиционна програма'!K$36:K$46)*$E$5</f>
        <v>0</v>
      </c>
      <c r="S54" s="931">
        <f>'11.2. Нови активи отч.год.'!S55</f>
        <v>0</v>
      </c>
      <c r="T54" s="963">
        <f>SUMIF('9.Инвестиционна програма'!$B$48:$B$55,$B54,'9.Инвестиционна програма'!F$48:F$55)*$E$5</f>
        <v>0</v>
      </c>
      <c r="U54" s="959">
        <f>SUMIF('9.Инвестиционна програма'!$B$48:$B$55,$B54,'9.Инвестиционна програма'!G$48:G$55)*$E$5</f>
        <v>0</v>
      </c>
      <c r="V54" s="959">
        <f>SUMIF('9.Инвестиционна програма'!$B$48:$B$55,$B54,'9.Инвестиционна програма'!H$48:H$55)*$E$5</f>
        <v>0</v>
      </c>
      <c r="W54" s="959">
        <f>SUMIF('9.Инвестиционна програма'!$B$48:$B$55,$B54,'9.Инвестиционна програма'!I$48:I$55)*$E$5</f>
        <v>0</v>
      </c>
      <c r="X54" s="959">
        <f>SUMIF('9.Инвестиционна програма'!$B$48:$B$55,$B54,'9.Инвестиционна програма'!J$48:J$55)*$E$5</f>
        <v>0</v>
      </c>
      <c r="Y54" s="962">
        <f>SUMIF('9.Инвестиционна програма'!$B$48:$B$55,$B54,'9.Инвестиционна програма'!K$48:K$55)*$E$5</f>
        <v>0</v>
      </c>
      <c r="Z54" s="931">
        <f>'11.2. Нови активи отч.год.'!Z55</f>
        <v>0</v>
      </c>
      <c r="AA54" s="963">
        <f>(SUMIF('9.Инвестиционна програма'!$B$57:$B$58,$B54,'9.Инвестиционна програма'!F$57:F$58)+SUMIF('9.Инвестиционна програма'!$B$60:$B$67,$B54,'9.Инвестиционна програма'!F$60:F$67))*$E$5</f>
        <v>0</v>
      </c>
      <c r="AB54" s="959">
        <f>(SUMIF('9.Инвестиционна програма'!$B$57:$B$58,$B54,'9.Инвестиционна програма'!G$57:G$58)+SUMIF('9.Инвестиционна програма'!$B$60:$B$67,$B54,'9.Инвестиционна програма'!G$60:G$67))*$E$5</f>
        <v>0</v>
      </c>
      <c r="AC54" s="959">
        <f>(SUMIF('9.Инвестиционна програма'!$B$57:$B$58,$B54,'9.Инвестиционна програма'!H$57:H$58)+SUMIF('9.Инвестиционна програма'!$B$60:$B$67,$B54,'9.Инвестиционна програма'!H$60:H$67))*$E$5</f>
        <v>0</v>
      </c>
      <c r="AD54" s="959">
        <f>(SUMIF('9.Инвестиционна програма'!$B$57:$B$58,$B54,'9.Инвестиционна програма'!I$57:I$58)+SUMIF('9.Инвестиционна програма'!$B$60:$B$67,$B54,'9.Инвестиционна програма'!I$60:I$67))*$E$5</f>
        <v>0</v>
      </c>
      <c r="AE54" s="959">
        <f>(SUMIF('9.Инвестиционна програма'!$B$57:$B$58,$B54,'9.Инвестиционна програма'!J$57:J$58)+SUMIF('9.Инвестиционна програма'!$B$60:$B$67,$B54,'9.Инвестиционна програма'!J$60:J$67))*$E$5</f>
        <v>0</v>
      </c>
      <c r="AF54" s="962">
        <f>(SUMIF('9.Инвестиционна програма'!$B$57:$B$58,$B54,'9.Инвестиционна програма'!K$57:K$58)+SUMIF('9.Инвестиционна програма'!$B$60:$B$67,$B54,'9.Инвестиционна програма'!K$60:K$67))*$E$5</f>
        <v>0</v>
      </c>
      <c r="AG54" s="306"/>
      <c r="AH54" s="563"/>
    </row>
    <row r="55" spans="1:34" s="261" customFormat="1" ht="17.25" customHeight="1">
      <c r="A55" s="942">
        <v>9</v>
      </c>
      <c r="B55" s="1738">
        <v>212</v>
      </c>
      <c r="C55" s="1739">
        <v>0.2</v>
      </c>
      <c r="D55" s="1743" t="s">
        <v>277</v>
      </c>
      <c r="E55" s="930">
        <f>'11.2. Нови активи отч.год.'!E56</f>
        <v>14</v>
      </c>
      <c r="F55" s="958">
        <f>SUMIF('9.Инвестиционна програма'!$B$11:$B$34,$B55,'9.Инвестиционна програма'!F$11:F$34)*$E$5</f>
        <v>0</v>
      </c>
      <c r="G55" s="959">
        <f>SUMIF('9.Инвестиционна програма'!$B$11:$B$34,$B55,'9.Инвестиционна програма'!G$11:G$34)*$E$5</f>
        <v>0</v>
      </c>
      <c r="H55" s="959">
        <f>SUMIF('9.Инвестиционна програма'!$B$11:$B$34,$B55,'9.Инвестиционна програма'!H$11:H$34)*$E$5</f>
        <v>0</v>
      </c>
      <c r="I55" s="959">
        <f>SUMIF('9.Инвестиционна програма'!$B$11:$B$34,$B55,'9.Инвестиционна програма'!I$11:I$34)*$E$5</f>
        <v>0</v>
      </c>
      <c r="J55" s="959">
        <f>SUMIF('9.Инвестиционна програма'!$B$11:$B$34,$B55,'9.Инвестиционна програма'!J$11:J$34)*$E$5</f>
        <v>0</v>
      </c>
      <c r="K55" s="960">
        <f>SUMIF('9.Инвестиционна програма'!$B$11:$B$34,$B55,'9.Инвестиционна програма'!K$11:K$34)*$E$5</f>
        <v>0</v>
      </c>
      <c r="L55" s="931">
        <f>'11.2. Нови активи отч.год.'!L56</f>
        <v>1</v>
      </c>
      <c r="M55" s="958">
        <f>SUMIF('9.Инвестиционна програма'!$B$36:$B$46,$B55,'9.Инвестиционна програма'!F$36:F$46)*$E$5</f>
        <v>0</v>
      </c>
      <c r="N55" s="959">
        <f>SUMIF('9.Инвестиционна програма'!$B$36:$B$46,$B55,'9.Инвестиционна програма'!G$36:G$46)*$E$5</f>
        <v>0</v>
      </c>
      <c r="O55" s="959">
        <f>SUMIF('9.Инвестиционна програма'!$B$36:$B$46,$B55,'9.Инвестиционна програма'!H$36:H$46)*$E$5</f>
        <v>0</v>
      </c>
      <c r="P55" s="959">
        <f>SUMIF('9.Инвестиционна програма'!$B$36:$B$46,$B55,'9.Инвестиционна програма'!I$36:I$46)*$E$5</f>
        <v>0</v>
      </c>
      <c r="Q55" s="959">
        <f>SUMIF('9.Инвестиционна програма'!$B$36:$B$46,$B55,'9.Инвестиционна програма'!J$36:J$46)*$E$5</f>
        <v>0</v>
      </c>
      <c r="R55" s="962">
        <f>SUMIF('9.Инвестиционна програма'!$B$36:$B$46,$B55,'9.Инвестиционна програма'!K$36:K$46)*$E$5</f>
        <v>0</v>
      </c>
      <c r="S55" s="931">
        <f>'11.2. Нови активи отч.год.'!S56</f>
        <v>0</v>
      </c>
      <c r="T55" s="963">
        <f>SUMIF('9.Инвестиционна програма'!$B$48:$B$55,$B55,'9.Инвестиционна програма'!F$48:F$55)*$E$5</f>
        <v>0</v>
      </c>
      <c r="U55" s="959">
        <f>SUMIF('9.Инвестиционна програма'!$B$48:$B$55,$B55,'9.Инвестиционна програма'!G$48:G$55)*$E$5</f>
        <v>0</v>
      </c>
      <c r="V55" s="959">
        <f>SUMIF('9.Инвестиционна програма'!$B$48:$B$55,$B55,'9.Инвестиционна програма'!H$48:H$55)*$E$5</f>
        <v>0</v>
      </c>
      <c r="W55" s="959">
        <f>SUMIF('9.Инвестиционна програма'!$B$48:$B$55,$B55,'9.Инвестиционна програма'!I$48:I$55)*$E$5</f>
        <v>0</v>
      </c>
      <c r="X55" s="959">
        <f>SUMIF('9.Инвестиционна програма'!$B$48:$B$55,$B55,'9.Инвестиционна програма'!J$48:J$55)*$E$5</f>
        <v>0</v>
      </c>
      <c r="Y55" s="962">
        <f>SUMIF('9.Инвестиционна програма'!$B$48:$B$55,$B55,'9.Инвестиционна програма'!K$48:K$55)*$E$5</f>
        <v>0</v>
      </c>
      <c r="Z55" s="931">
        <f>'11.2. Нови активи отч.год.'!Z56</f>
        <v>0</v>
      </c>
      <c r="AA55" s="963">
        <f>(SUMIF('9.Инвестиционна програма'!$B$57:$B$58,$B55,'9.Инвестиционна програма'!F$57:F$58)+SUMIF('9.Инвестиционна програма'!$B$60:$B$67,$B55,'9.Инвестиционна програма'!F$60:F$67))*$E$5</f>
        <v>0</v>
      </c>
      <c r="AB55" s="959">
        <f>(SUMIF('9.Инвестиционна програма'!$B$57:$B$58,$B55,'9.Инвестиционна програма'!G$57:G$58)+SUMIF('9.Инвестиционна програма'!$B$60:$B$67,$B55,'9.Инвестиционна програма'!G$60:G$67))*$E$5</f>
        <v>0</v>
      </c>
      <c r="AC55" s="959">
        <f>(SUMIF('9.Инвестиционна програма'!$B$57:$B$58,$B55,'9.Инвестиционна програма'!H$57:H$58)+SUMIF('9.Инвестиционна програма'!$B$60:$B$67,$B55,'9.Инвестиционна програма'!H$60:H$67))*$E$5</f>
        <v>50</v>
      </c>
      <c r="AD55" s="959">
        <f>(SUMIF('9.Инвестиционна програма'!$B$57:$B$58,$B55,'9.Инвестиционна програма'!I$57:I$58)+SUMIF('9.Инвестиционна програма'!$B$60:$B$67,$B55,'9.Инвестиционна програма'!I$60:I$67))*$E$5</f>
        <v>0</v>
      </c>
      <c r="AE55" s="959">
        <f>(SUMIF('9.Инвестиционна програма'!$B$57:$B$58,$B55,'9.Инвестиционна програма'!J$57:J$58)+SUMIF('9.Инвестиционна програма'!$B$60:$B$67,$B55,'9.Инвестиционна програма'!J$60:J$67))*$E$5</f>
        <v>0</v>
      </c>
      <c r="AF55" s="962">
        <f>(SUMIF('9.Инвестиционна програма'!$B$57:$B$58,$B55,'9.Инвестиционна програма'!K$57:K$58)+SUMIF('9.Инвестиционна програма'!$B$60:$B$67,$B55,'9.Инвестиционна програма'!K$60:K$67))*$E$5</f>
        <v>0</v>
      </c>
      <c r="AG55" s="306"/>
      <c r="AH55" s="563"/>
    </row>
    <row r="56" spans="1:34" s="261" customFormat="1">
      <c r="A56" s="942">
        <v>10</v>
      </c>
      <c r="B56" s="1738">
        <v>213</v>
      </c>
      <c r="C56" s="1739">
        <v>0.2</v>
      </c>
      <c r="D56" s="1731" t="s">
        <v>278</v>
      </c>
      <c r="E56" s="930">
        <f>'11.2. Нови активи отч.год.'!E57</f>
        <v>0</v>
      </c>
      <c r="F56" s="958">
        <f>SUMIF('9.Инвестиционна програма'!$B$11:$B$34,$B56,'9.Инвестиционна програма'!F$11:F$34)*$E$5</f>
        <v>0</v>
      </c>
      <c r="G56" s="959">
        <f>SUMIF('9.Инвестиционна програма'!$B$11:$B$34,$B56,'9.Инвестиционна програма'!G$11:G$34)*$E$5</f>
        <v>0</v>
      </c>
      <c r="H56" s="959">
        <f>SUMIF('9.Инвестиционна програма'!$B$11:$B$34,$B56,'9.Инвестиционна програма'!H$11:H$34)*$E$5</f>
        <v>0</v>
      </c>
      <c r="I56" s="959">
        <f>SUMIF('9.Инвестиционна програма'!$B$11:$B$34,$B56,'9.Инвестиционна програма'!I$11:I$34)*$E$5</f>
        <v>0</v>
      </c>
      <c r="J56" s="959">
        <f>SUMIF('9.Инвестиционна програма'!$B$11:$B$34,$B56,'9.Инвестиционна програма'!J$11:J$34)*$E$5</f>
        <v>0</v>
      </c>
      <c r="K56" s="960">
        <f>SUMIF('9.Инвестиционна програма'!$B$11:$B$34,$B56,'9.Инвестиционна програма'!K$11:K$34)*$E$5</f>
        <v>0</v>
      </c>
      <c r="L56" s="931">
        <f>'11.2. Нови активи отч.год.'!L57</f>
        <v>0</v>
      </c>
      <c r="M56" s="958">
        <f>SUMIF('9.Инвестиционна програма'!$B$36:$B$46,$B56,'9.Инвестиционна програма'!F$36:F$46)*$E$5</f>
        <v>0</v>
      </c>
      <c r="N56" s="959">
        <f>SUMIF('9.Инвестиционна програма'!$B$36:$B$46,$B56,'9.Инвестиционна програма'!G$36:G$46)*$E$5</f>
        <v>0</v>
      </c>
      <c r="O56" s="959">
        <f>SUMIF('9.Инвестиционна програма'!$B$36:$B$46,$B56,'9.Инвестиционна програма'!H$36:H$46)*$E$5</f>
        <v>0</v>
      </c>
      <c r="P56" s="959">
        <f>SUMIF('9.Инвестиционна програма'!$B$36:$B$46,$B56,'9.Инвестиционна програма'!I$36:I$46)*$E$5</f>
        <v>0</v>
      </c>
      <c r="Q56" s="959">
        <f>SUMIF('9.Инвестиционна програма'!$B$36:$B$46,$B56,'9.Инвестиционна програма'!J$36:J$46)*$E$5</f>
        <v>0</v>
      </c>
      <c r="R56" s="962">
        <f>SUMIF('9.Инвестиционна програма'!$B$36:$B$46,$B56,'9.Инвестиционна програма'!K$36:K$46)*$E$5</f>
        <v>0</v>
      </c>
      <c r="S56" s="931">
        <f>'11.2. Нови активи отч.год.'!S57</f>
        <v>0</v>
      </c>
      <c r="T56" s="963">
        <f>SUMIF('9.Инвестиционна програма'!$B$48:$B$55,$B56,'9.Инвестиционна програма'!F$48:F$55)*$E$5</f>
        <v>0</v>
      </c>
      <c r="U56" s="959">
        <f>SUMIF('9.Инвестиционна програма'!$B$48:$B$55,$B56,'9.Инвестиционна програма'!G$48:G$55)*$E$5</f>
        <v>0</v>
      </c>
      <c r="V56" s="959">
        <f>SUMIF('9.Инвестиционна програма'!$B$48:$B$55,$B56,'9.Инвестиционна програма'!H$48:H$55)*$E$5</f>
        <v>0</v>
      </c>
      <c r="W56" s="959">
        <f>SUMIF('9.Инвестиционна програма'!$B$48:$B$55,$B56,'9.Инвестиционна програма'!I$48:I$55)*$E$5</f>
        <v>0</v>
      </c>
      <c r="X56" s="959">
        <f>SUMIF('9.Инвестиционна програма'!$B$48:$B$55,$B56,'9.Инвестиционна програма'!J$48:J$55)*$E$5</f>
        <v>0</v>
      </c>
      <c r="Y56" s="962">
        <f>SUMIF('9.Инвестиционна програма'!$B$48:$B$55,$B56,'9.Инвестиционна програма'!K$48:K$55)*$E$5</f>
        <v>0</v>
      </c>
      <c r="Z56" s="931">
        <f>'11.2. Нови активи отч.год.'!Z57</f>
        <v>0</v>
      </c>
      <c r="AA56" s="963">
        <f>(SUMIF('9.Инвестиционна програма'!$B$57:$B$58,$B56,'9.Инвестиционна програма'!F$57:F$58)+SUMIF('9.Инвестиционна програма'!$B$60:$B$67,$B56,'9.Инвестиционна програма'!F$60:F$67))*$E$5</f>
        <v>0</v>
      </c>
      <c r="AB56" s="959">
        <f>(SUMIF('9.Инвестиционна програма'!$B$57:$B$58,$B56,'9.Инвестиционна програма'!G$57:G$58)+SUMIF('9.Инвестиционна програма'!$B$60:$B$67,$B56,'9.Инвестиционна програма'!G$60:G$67))*$E$5</f>
        <v>0</v>
      </c>
      <c r="AC56" s="959">
        <f>(SUMIF('9.Инвестиционна програма'!$B$57:$B$58,$B56,'9.Инвестиционна програма'!H$57:H$58)+SUMIF('9.Инвестиционна програма'!$B$60:$B$67,$B56,'9.Инвестиционна програма'!H$60:H$67))*$E$5</f>
        <v>0</v>
      </c>
      <c r="AD56" s="959">
        <f>(SUMIF('9.Инвестиционна програма'!$B$57:$B$58,$B56,'9.Инвестиционна програма'!I$57:I$58)+SUMIF('9.Инвестиционна програма'!$B$60:$B$67,$B56,'9.Инвестиционна програма'!I$60:I$67))*$E$5</f>
        <v>0</v>
      </c>
      <c r="AE56" s="959">
        <f>(SUMIF('9.Инвестиционна програма'!$B$57:$B$58,$B56,'9.Инвестиционна програма'!J$57:J$58)+SUMIF('9.Инвестиционна програма'!$B$60:$B$67,$B56,'9.Инвестиционна програма'!J$60:J$67))*$E$5</f>
        <v>0</v>
      </c>
      <c r="AF56" s="962">
        <f>(SUMIF('9.Инвестиционна програма'!$B$57:$B$58,$B56,'9.Инвестиционна програма'!K$57:K$58)+SUMIF('9.Инвестиционна програма'!$B$60:$B$67,$B56,'9.Инвестиционна програма'!K$60:K$67))*$E$5</f>
        <v>0</v>
      </c>
      <c r="AG56" s="306"/>
      <c r="AH56" s="563"/>
    </row>
    <row r="57" spans="1:34" s="261" customFormat="1" ht="24">
      <c r="A57" s="942">
        <v>11</v>
      </c>
      <c r="B57" s="1738">
        <v>215</v>
      </c>
      <c r="C57" s="1739">
        <v>0.2</v>
      </c>
      <c r="D57" s="1731" t="s">
        <v>911</v>
      </c>
      <c r="E57" s="930">
        <f>'11.2. Нови активи отч.год.'!E58</f>
        <v>0</v>
      </c>
      <c r="F57" s="958">
        <f>SUMIF('9.Инвестиционна програма'!$B$11:$B$34,$B57,'9.Инвестиционна програма'!F$11:F$34)*$E$5</f>
        <v>0</v>
      </c>
      <c r="G57" s="959">
        <f>SUMIF('9.Инвестиционна програма'!$B$11:$B$34,$B57,'9.Инвестиционна програма'!G$11:G$34)*$E$5</f>
        <v>0</v>
      </c>
      <c r="H57" s="959">
        <f>SUMIF('9.Инвестиционна програма'!$B$11:$B$34,$B57,'9.Инвестиционна програма'!H$11:H$34)*$E$5</f>
        <v>0</v>
      </c>
      <c r="I57" s="959">
        <f>SUMIF('9.Инвестиционна програма'!$B$11:$B$34,$B57,'9.Инвестиционна програма'!I$11:I$34)*$E$5</f>
        <v>10</v>
      </c>
      <c r="J57" s="959">
        <f>SUMIF('9.Инвестиционна програма'!$B$11:$B$34,$B57,'9.Инвестиционна програма'!J$11:J$34)*$E$5</f>
        <v>10</v>
      </c>
      <c r="K57" s="960">
        <f>SUMIF('9.Инвестиционна програма'!$B$11:$B$34,$B57,'9.Инвестиционна програма'!K$11:K$34)*$E$5</f>
        <v>10</v>
      </c>
      <c r="L57" s="931">
        <f>'11.2. Нови активи отч.год.'!L58</f>
        <v>0</v>
      </c>
      <c r="M57" s="958">
        <f>SUMIF('9.Инвестиционна програма'!$B$36:$B$46,$B57,'9.Инвестиционна програма'!F$36:F$46)*$E$5</f>
        <v>0</v>
      </c>
      <c r="N57" s="959">
        <f>SUMIF('9.Инвестиционна програма'!$B$36:$B$46,$B57,'9.Инвестиционна програма'!G$36:G$46)*$E$5</f>
        <v>0</v>
      </c>
      <c r="O57" s="959">
        <f>SUMIF('9.Инвестиционна програма'!$B$36:$B$46,$B57,'9.Инвестиционна програма'!H$36:H$46)*$E$5</f>
        <v>0</v>
      </c>
      <c r="P57" s="959">
        <f>SUMIF('9.Инвестиционна програма'!$B$36:$B$46,$B57,'9.Инвестиционна програма'!I$36:I$46)*$E$5</f>
        <v>20</v>
      </c>
      <c r="Q57" s="959">
        <f>SUMIF('9.Инвестиционна програма'!$B$36:$B$46,$B57,'9.Инвестиционна програма'!J$36:J$46)*$E$5</f>
        <v>20</v>
      </c>
      <c r="R57" s="962">
        <f>SUMIF('9.Инвестиционна програма'!$B$36:$B$46,$B57,'9.Инвестиционна програма'!K$36:K$46)*$E$5</f>
        <v>20</v>
      </c>
      <c r="S57" s="931">
        <f>'11.2. Нови активи отч.год.'!S58</f>
        <v>0</v>
      </c>
      <c r="T57" s="963">
        <f>SUMIF('9.Инвестиционна програма'!$B$48:$B$55,$B57,'9.Инвестиционна програма'!F$48:F$55)*$E$5</f>
        <v>0</v>
      </c>
      <c r="U57" s="959">
        <f>SUMIF('9.Инвестиционна програма'!$B$48:$B$55,$B57,'9.Инвестиционна програма'!G$48:G$55)*$E$5</f>
        <v>0</v>
      </c>
      <c r="V57" s="959">
        <f>SUMIF('9.Инвестиционна програма'!$B$48:$B$55,$B57,'9.Инвестиционна програма'!H$48:H$55)*$E$5</f>
        <v>0</v>
      </c>
      <c r="W57" s="959">
        <f>SUMIF('9.Инвестиционна програма'!$B$48:$B$55,$B57,'9.Инвестиционна програма'!I$48:I$55)*$E$5</f>
        <v>0</v>
      </c>
      <c r="X57" s="959">
        <f>SUMIF('9.Инвестиционна програма'!$B$48:$B$55,$B57,'9.Инвестиционна програма'!J$48:J$55)*$E$5</f>
        <v>0</v>
      </c>
      <c r="Y57" s="962">
        <f>SUMIF('9.Инвестиционна програма'!$B$48:$B$55,$B57,'9.Инвестиционна програма'!K$48:K$55)*$E$5</f>
        <v>0</v>
      </c>
      <c r="Z57" s="931">
        <f>'11.2. Нови активи отч.год.'!Z58</f>
        <v>0</v>
      </c>
      <c r="AA57" s="963">
        <f>(SUMIF('9.Инвестиционна програма'!$B$57:$B$58,$B57,'9.Инвестиционна програма'!F$57:F$58)+SUMIF('9.Инвестиционна програма'!$B$60:$B$67,$B57,'9.Инвестиционна програма'!F$60:F$67))*$E$5</f>
        <v>0</v>
      </c>
      <c r="AB57" s="959">
        <f>(SUMIF('9.Инвестиционна програма'!$B$57:$B$58,$B57,'9.Инвестиционна програма'!G$57:G$58)+SUMIF('9.Инвестиционна програма'!$B$60:$B$67,$B57,'9.Инвестиционна програма'!G$60:G$67))*$E$5</f>
        <v>0</v>
      </c>
      <c r="AC57" s="959">
        <f>(SUMIF('9.Инвестиционна програма'!$B$57:$B$58,$B57,'9.Инвестиционна програма'!H$57:H$58)+SUMIF('9.Инвестиционна програма'!$B$60:$B$67,$B57,'9.Инвестиционна програма'!H$60:H$67))*$E$5</f>
        <v>110</v>
      </c>
      <c r="AD57" s="959">
        <f>(SUMIF('9.Инвестиционна програма'!$B$57:$B$58,$B57,'9.Инвестиционна програма'!I$57:I$58)+SUMIF('9.Инвестиционна програма'!$B$60:$B$67,$B57,'9.Инвестиционна програма'!I$60:I$67))*$E$5</f>
        <v>110</v>
      </c>
      <c r="AE57" s="959">
        <f>(SUMIF('9.Инвестиционна програма'!$B$57:$B$58,$B57,'9.Инвестиционна програма'!J$57:J$58)+SUMIF('9.Инвестиционна програма'!$B$60:$B$67,$B57,'9.Инвестиционна програма'!J$60:J$67))*$E$5</f>
        <v>110</v>
      </c>
      <c r="AF57" s="962">
        <f>(SUMIF('9.Инвестиционна програма'!$B$57:$B$58,$B57,'9.Инвестиционна програма'!K$57:K$58)+SUMIF('9.Инвестиционна програма'!$B$60:$B$67,$B57,'9.Инвестиционна програма'!K$60:K$67))*$E$5</f>
        <v>70</v>
      </c>
      <c r="AG57" s="306"/>
      <c r="AH57" s="563"/>
    </row>
    <row r="58" spans="1:34" s="261" customFormat="1" ht="13.5" thickBot="1">
      <c r="A58" s="998">
        <v>12</v>
      </c>
      <c r="B58" s="998">
        <v>219</v>
      </c>
      <c r="C58" s="999">
        <v>0.1</v>
      </c>
      <c r="D58" s="1000" t="s">
        <v>279</v>
      </c>
      <c r="E58" s="1727">
        <f>'11.2. Нови активи отч.год.'!E59</f>
        <v>0</v>
      </c>
      <c r="F58" s="966">
        <f>SUMIF('9.Инвестиционна програма'!$B$11:$B$34,$B58,'9.Инвестиционна програма'!F$11:F$34)*$E$5</f>
        <v>0</v>
      </c>
      <c r="G58" s="967">
        <f>SUMIF('9.Инвестиционна програма'!$B$11:$B$34,$B58,'9.Инвестиционна програма'!G$11:G$34)*$E$5</f>
        <v>0</v>
      </c>
      <c r="H58" s="967">
        <f>SUMIF('9.Инвестиционна програма'!$B$11:$B$34,$B58,'9.Инвестиционна програма'!H$11:H$34)*$E$5</f>
        <v>0</v>
      </c>
      <c r="I58" s="967">
        <f>SUMIF('9.Инвестиционна програма'!$B$11:$B$34,$B58,'9.Инвестиционна програма'!I$11:I$34)*$E$5</f>
        <v>0</v>
      </c>
      <c r="J58" s="967">
        <f>SUMIF('9.Инвестиционна програма'!$B$11:$B$34,$B58,'9.Инвестиционна програма'!J$11:J$34)*$E$5</f>
        <v>0</v>
      </c>
      <c r="K58" s="968">
        <f>SUMIF('9.Инвестиционна програма'!$B$11:$B$34,$B58,'9.Инвестиционна програма'!K$11:K$34)*$E$5</f>
        <v>0</v>
      </c>
      <c r="L58" s="969">
        <f>'11.2. Нови активи отч.год.'!L59</f>
        <v>0</v>
      </c>
      <c r="M58" s="966">
        <f>SUMIF('9.Инвестиционна програма'!$B$36:$B$46,$B58,'9.Инвестиционна програма'!F$36:F$46)*$E$5</f>
        <v>0</v>
      </c>
      <c r="N58" s="967">
        <f>SUMIF('9.Инвестиционна програма'!$B$36:$B$46,$B58,'9.Инвестиционна програма'!G$36:G$46)*$E$5</f>
        <v>0</v>
      </c>
      <c r="O58" s="967">
        <f>SUMIF('9.Инвестиционна програма'!$B$36:$B$46,$B58,'9.Инвестиционна програма'!H$36:H$46)*$E$5</f>
        <v>0</v>
      </c>
      <c r="P58" s="967">
        <f>SUMIF('9.Инвестиционна програма'!$B$36:$B$46,$B58,'9.Инвестиционна програма'!I$36:I$46)*$E$5</f>
        <v>0</v>
      </c>
      <c r="Q58" s="967">
        <f>SUMIF('9.Инвестиционна програма'!$B$36:$B$46,$B58,'9.Инвестиционна програма'!J$36:J$46)*$E$5</f>
        <v>0</v>
      </c>
      <c r="R58" s="970">
        <f>SUMIF('9.Инвестиционна програма'!$B$36:$B$46,$B58,'9.Инвестиционна програма'!K$36:K$46)*$E$5</f>
        <v>0</v>
      </c>
      <c r="S58" s="969">
        <f>'11.2. Нови активи отч.год.'!S59</f>
        <v>0</v>
      </c>
      <c r="T58" s="971">
        <f>SUMIF('9.Инвестиционна програма'!$B$48:$B$55,$B58,'9.Инвестиционна програма'!F$48:F$55)*$E$5</f>
        <v>0</v>
      </c>
      <c r="U58" s="967">
        <f>SUMIF('9.Инвестиционна програма'!$B$48:$B$55,$B58,'9.Инвестиционна програма'!G$48:G$55)*$E$5</f>
        <v>0</v>
      </c>
      <c r="V58" s="967">
        <f>SUMIF('9.Инвестиционна програма'!$B$48:$B$55,$B58,'9.Инвестиционна програма'!H$48:H$55)*$E$5</f>
        <v>0</v>
      </c>
      <c r="W58" s="967">
        <f>SUMIF('9.Инвестиционна програма'!$B$48:$B$55,$B58,'9.Инвестиционна програма'!I$48:I$55)*$E$5</f>
        <v>0</v>
      </c>
      <c r="X58" s="967">
        <f>SUMIF('9.Инвестиционна програма'!$B$48:$B$55,$B58,'9.Инвестиционна програма'!J$48:J$55)*$E$5</f>
        <v>0</v>
      </c>
      <c r="Y58" s="970">
        <f>SUMIF('9.Инвестиционна програма'!$B$48:$B$55,$B58,'9.Инвестиционна програма'!K$48:K$55)*$E$5</f>
        <v>0</v>
      </c>
      <c r="Z58" s="969">
        <f>'11.2. Нови активи отч.год.'!Z59</f>
        <v>0</v>
      </c>
      <c r="AA58" s="971">
        <f>(SUMIF('9.Инвестиционна програма'!$B$57:$B$58,$B58,'9.Инвестиционна програма'!F$57:F$58)+SUMIF('9.Инвестиционна програма'!$B$60:$B$67,$B58,'9.Инвестиционна програма'!F$60:F$67))*$E$5</f>
        <v>0</v>
      </c>
      <c r="AB58" s="967">
        <f>(SUMIF('9.Инвестиционна програма'!$B$57:$B$58,$B58,'9.Инвестиционна програма'!G$57:G$58)+SUMIF('9.Инвестиционна програма'!$B$60:$B$67,$B58,'9.Инвестиционна програма'!G$60:G$67))*$E$5</f>
        <v>0</v>
      </c>
      <c r="AC58" s="967">
        <f>(SUMIF('9.Инвестиционна програма'!$B$57:$B$58,$B58,'9.Инвестиционна програма'!H$57:H$58)+SUMIF('9.Инвестиционна програма'!$B$60:$B$67,$B58,'9.Инвестиционна програма'!H$60:H$67))*$E$5</f>
        <v>0</v>
      </c>
      <c r="AD58" s="967">
        <f>(SUMIF('9.Инвестиционна програма'!$B$57:$B$58,$B58,'9.Инвестиционна програма'!I$57:I$58)+SUMIF('9.Инвестиционна програма'!$B$60:$B$67,$B58,'9.Инвестиционна програма'!I$60:I$67))*$E$5</f>
        <v>0</v>
      </c>
      <c r="AE58" s="967">
        <f>(SUMIF('9.Инвестиционна програма'!$B$57:$B$58,$B58,'9.Инвестиционна програма'!J$57:J$58)+SUMIF('9.Инвестиционна програма'!$B$60:$B$67,$B58,'9.Инвестиционна програма'!J$60:J$67))*$E$5</f>
        <v>0</v>
      </c>
      <c r="AF58" s="970">
        <f>(SUMIF('9.Инвестиционна програма'!$B$57:$B$58,$B58,'9.Инвестиционна програма'!K$57:K$58)+SUMIF('9.Инвестиционна програма'!$B$60:$B$67,$B58,'9.Инвестиционна програма'!K$60:K$67))*$E$5</f>
        <v>0</v>
      </c>
      <c r="AG58" s="306"/>
      <c r="AH58" s="563"/>
    </row>
    <row r="59" spans="1:34" s="297" customFormat="1" ht="15" thickBot="1">
      <c r="A59" s="1540" t="s">
        <v>269</v>
      </c>
      <c r="B59" s="246"/>
      <c r="C59" s="246"/>
      <c r="D59" s="245" t="s">
        <v>281</v>
      </c>
      <c r="E59" s="921">
        <f t="shared" ref="E59:AF59" si="12">E60+E63+E66+E78+E93+E98+SUM(E102:E107)</f>
        <v>34</v>
      </c>
      <c r="F59" s="922">
        <f t="shared" si="12"/>
        <v>31.71</v>
      </c>
      <c r="G59" s="242">
        <f t="shared" si="12"/>
        <v>88.359999999999985</v>
      </c>
      <c r="H59" s="242">
        <f t="shared" si="12"/>
        <v>136.40000000000003</v>
      </c>
      <c r="I59" s="242">
        <f t="shared" si="12"/>
        <v>199.79499999999999</v>
      </c>
      <c r="J59" s="242">
        <f t="shared" si="12"/>
        <v>297.13</v>
      </c>
      <c r="K59" s="972">
        <f t="shared" si="12"/>
        <v>399.20999999999992</v>
      </c>
      <c r="L59" s="648">
        <f t="shared" si="12"/>
        <v>0.2</v>
      </c>
      <c r="M59" s="922">
        <f t="shared" si="12"/>
        <v>6.2899999999999991</v>
      </c>
      <c r="N59" s="242">
        <f t="shared" si="12"/>
        <v>46.88000000000001</v>
      </c>
      <c r="O59" s="242">
        <f t="shared" si="12"/>
        <v>82.73</v>
      </c>
      <c r="P59" s="242">
        <f t="shared" si="12"/>
        <v>95.58</v>
      </c>
      <c r="Q59" s="242">
        <f t="shared" si="12"/>
        <v>133.76</v>
      </c>
      <c r="R59" s="243">
        <f t="shared" si="12"/>
        <v>176.89000000000001</v>
      </c>
      <c r="S59" s="648">
        <f t="shared" si="12"/>
        <v>0</v>
      </c>
      <c r="T59" s="241">
        <f t="shared" si="12"/>
        <v>5.0999999999999996</v>
      </c>
      <c r="U59" s="242">
        <f t="shared" si="12"/>
        <v>11.579999999999998</v>
      </c>
      <c r="V59" s="242">
        <f t="shared" si="12"/>
        <v>20.82</v>
      </c>
      <c r="W59" s="242">
        <f t="shared" si="12"/>
        <v>32.33</v>
      </c>
      <c r="X59" s="242">
        <f t="shared" si="12"/>
        <v>38.68</v>
      </c>
      <c r="Y59" s="243">
        <f t="shared" si="12"/>
        <v>44.43</v>
      </c>
      <c r="Z59" s="648">
        <f t="shared" si="12"/>
        <v>0</v>
      </c>
      <c r="AA59" s="241">
        <f t="shared" si="12"/>
        <v>0</v>
      </c>
      <c r="AB59" s="242">
        <f t="shared" si="12"/>
        <v>9.0399999999999991</v>
      </c>
      <c r="AC59" s="242">
        <f t="shared" si="12"/>
        <v>61.430000000000007</v>
      </c>
      <c r="AD59" s="242">
        <f t="shared" si="12"/>
        <v>134.18</v>
      </c>
      <c r="AE59" s="242">
        <f t="shared" si="12"/>
        <v>195.68</v>
      </c>
      <c r="AF59" s="243">
        <f t="shared" si="12"/>
        <v>256.33000000000004</v>
      </c>
      <c r="AG59" s="306"/>
      <c r="AH59" s="566"/>
    </row>
    <row r="60" spans="1:34" s="261" customFormat="1">
      <c r="A60" s="923">
        <v>1</v>
      </c>
      <c r="B60" s="923">
        <v>201</v>
      </c>
      <c r="C60" s="924">
        <v>0</v>
      </c>
      <c r="D60" s="925" t="s">
        <v>280</v>
      </c>
      <c r="E60" s="926">
        <f t="shared" ref="E60:AF60" si="13">SUM(E61:E62)</f>
        <v>0</v>
      </c>
      <c r="F60" s="973">
        <f t="shared" si="13"/>
        <v>0</v>
      </c>
      <c r="G60" s="974">
        <f t="shared" si="13"/>
        <v>0</v>
      </c>
      <c r="H60" s="974">
        <f t="shared" si="13"/>
        <v>0</v>
      </c>
      <c r="I60" s="974">
        <f t="shared" si="13"/>
        <v>0</v>
      </c>
      <c r="J60" s="974">
        <f t="shared" si="13"/>
        <v>0</v>
      </c>
      <c r="K60" s="975">
        <f t="shared" si="13"/>
        <v>0</v>
      </c>
      <c r="L60" s="976">
        <f t="shared" si="13"/>
        <v>0</v>
      </c>
      <c r="M60" s="973">
        <f t="shared" si="13"/>
        <v>0</v>
      </c>
      <c r="N60" s="974">
        <f t="shared" si="13"/>
        <v>0</v>
      </c>
      <c r="O60" s="974">
        <f t="shared" si="13"/>
        <v>0</v>
      </c>
      <c r="P60" s="974">
        <f t="shared" si="13"/>
        <v>0</v>
      </c>
      <c r="Q60" s="974">
        <f t="shared" si="13"/>
        <v>0</v>
      </c>
      <c r="R60" s="977">
        <f t="shared" si="13"/>
        <v>0</v>
      </c>
      <c r="S60" s="976">
        <f t="shared" si="13"/>
        <v>0</v>
      </c>
      <c r="T60" s="2793">
        <f t="shared" si="13"/>
        <v>0</v>
      </c>
      <c r="U60" s="974">
        <f t="shared" si="13"/>
        <v>0</v>
      </c>
      <c r="V60" s="974">
        <f t="shared" si="13"/>
        <v>0</v>
      </c>
      <c r="W60" s="974">
        <f t="shared" si="13"/>
        <v>0</v>
      </c>
      <c r="X60" s="974">
        <f t="shared" si="13"/>
        <v>0</v>
      </c>
      <c r="Y60" s="977">
        <f t="shared" si="13"/>
        <v>0</v>
      </c>
      <c r="Z60" s="976">
        <f t="shared" si="13"/>
        <v>0</v>
      </c>
      <c r="AA60" s="973">
        <f t="shared" si="13"/>
        <v>0</v>
      </c>
      <c r="AB60" s="974">
        <f t="shared" si="13"/>
        <v>0</v>
      </c>
      <c r="AC60" s="974">
        <f t="shared" si="13"/>
        <v>0</v>
      </c>
      <c r="AD60" s="974">
        <f t="shared" si="13"/>
        <v>0</v>
      </c>
      <c r="AE60" s="974">
        <f t="shared" si="13"/>
        <v>0</v>
      </c>
      <c r="AF60" s="977">
        <f t="shared" si="13"/>
        <v>0</v>
      </c>
      <c r="AG60" s="637"/>
      <c r="AH60" s="563"/>
    </row>
    <row r="61" spans="1:34" s="293" customFormat="1">
      <c r="A61" s="278"/>
      <c r="B61" s="278">
        <v>20101</v>
      </c>
      <c r="C61" s="882">
        <v>0</v>
      </c>
      <c r="D61" s="264" t="s">
        <v>758</v>
      </c>
      <c r="E61" s="930">
        <f>'11.2. Нови активи отч.год.'!E62</f>
        <v>0</v>
      </c>
      <c r="F61" s="898">
        <f>($F12*$C61)/$E$6</f>
        <v>0</v>
      </c>
      <c r="G61" s="899">
        <f>($F12*$C61)+($G12*$C61)/$E$6</f>
        <v>0</v>
      </c>
      <c r="H61" s="899">
        <f>($F12*$C61)+($G12*$C61)+($H12*$C61)/$E$6</f>
        <v>0</v>
      </c>
      <c r="I61" s="899">
        <f>($F12*$C61)+($G12*$C61)+($H12*$C61)+($I12*$C61)/$E$6</f>
        <v>0</v>
      </c>
      <c r="J61" s="899">
        <f>($F12*$C61)+($G12*$C61)+($H12*$C61)+($I12*$C61)+($J12*$C61)/$E$6</f>
        <v>0</v>
      </c>
      <c r="K61" s="978">
        <f>($F12*$C61)+($G12*$C61)+($H12*$C61)+($I12*$C61)+($J12*$C61)+($K12*$C61)/$E$6</f>
        <v>0</v>
      </c>
      <c r="L61" s="930">
        <f>'11.2. Нови активи отч.год.'!L62</f>
        <v>0</v>
      </c>
      <c r="M61" s="898">
        <f>($M12*$C61)/$E$6</f>
        <v>0</v>
      </c>
      <c r="N61" s="899">
        <f>($M12*$C61)+($N12*$C61)/$E$6</f>
        <v>0</v>
      </c>
      <c r="O61" s="899">
        <f>($M12*$C61)+($N12*$C61)+($O12*$C61)/$E$6</f>
        <v>0</v>
      </c>
      <c r="P61" s="899">
        <f>($M12*$C61)+($N12*$C61)+($O12*$C61)+($P12*$C61)/$E$6</f>
        <v>0</v>
      </c>
      <c r="Q61" s="978">
        <f>($M12*$C61)+($N12*$C61)+($O12*$C61)+($P12*$C61)+($Q12*$C61)/$E$6</f>
        <v>0</v>
      </c>
      <c r="R61" s="900">
        <f>($M12*$C61)+($N12*$C61)+($O12*$C61)+($P12*$C61)+($Q12*$C61)+($R12*$C61)/$E$6</f>
        <v>0</v>
      </c>
      <c r="S61" s="1652">
        <f>'11.2. Нови активи отч.год.'!S62</f>
        <v>0</v>
      </c>
      <c r="T61" s="2794">
        <f>($T12*$C61)/$E$6</f>
        <v>0</v>
      </c>
      <c r="U61" s="899">
        <f>($T12*$C61)+($U12*$C61)/$E$6</f>
        <v>0</v>
      </c>
      <c r="V61" s="899">
        <f>($T12*$C61)+($U12*$C61)+($V12*$C61)/$E$6</f>
        <v>0</v>
      </c>
      <c r="W61" s="899">
        <f>($T12*$C61)+($U12*$C61)+($V12*$C61)+($W12*$C61)/$E$6</f>
        <v>0</v>
      </c>
      <c r="X61" s="899">
        <f>($T12*$C61)+($U12*$C61)+($V12*$C61)+($W12*$C61)+($X12*$C61)/$E$6</f>
        <v>0</v>
      </c>
      <c r="Y61" s="978">
        <f>($T12*$C61)+($U12*$C61)+($V12*$C61)+($W12*$C61)+($X12*$C61)+($Y12*$C61)/$E$6</f>
        <v>0</v>
      </c>
      <c r="Z61" s="930">
        <f>'11.2. Нови активи отч.год.'!Z62</f>
        <v>0</v>
      </c>
      <c r="AA61" s="898">
        <f>($AA12*$C61)/$E$6</f>
        <v>0</v>
      </c>
      <c r="AB61" s="899">
        <f>($AA12*$C61)+($AB12*$C61)/$E$6</f>
        <v>0</v>
      </c>
      <c r="AC61" s="899">
        <f>($AA12*$C61)+($AB12*$C61)+($AC12*$C61)/$E$6</f>
        <v>0</v>
      </c>
      <c r="AD61" s="899">
        <f>($AA12*$C61)+($AB12*$C61)+($AC12*$C61)+($AD12*$C61)/$E$6</f>
        <v>0</v>
      </c>
      <c r="AE61" s="899">
        <f>($AA12*$C61)+($AB12*$C61)+($AC12*$C61)+($AD12*$C61)+($AE12*$C61)/$E$6</f>
        <v>0</v>
      </c>
      <c r="AF61" s="900">
        <f>($AA12*$C61)+($AB12*$C61)+($AC12*$C61)+($AD12*$C61)+($AE12*$C61)+($AF12*$C61)/$E$6</f>
        <v>0</v>
      </c>
      <c r="AG61" s="638"/>
      <c r="AH61" s="564"/>
    </row>
    <row r="62" spans="1:34" s="293" customFormat="1">
      <c r="A62" s="278"/>
      <c r="B62" s="278">
        <v>20102</v>
      </c>
      <c r="C62" s="882">
        <v>0</v>
      </c>
      <c r="D62" s="279" t="s">
        <v>760</v>
      </c>
      <c r="E62" s="930">
        <f>'11.2. Нови активи отч.год.'!E63</f>
        <v>0</v>
      </c>
      <c r="F62" s="898">
        <f>($F13*$C62)/$E$6</f>
        <v>0</v>
      </c>
      <c r="G62" s="899">
        <f>($F13*$C62)+($G13*$C62)/$E$6</f>
        <v>0</v>
      </c>
      <c r="H62" s="899">
        <f>($F13*$C62)+($G13*$C62)+($H13*$C62)/$E$6</f>
        <v>0</v>
      </c>
      <c r="I62" s="899">
        <f>($F13*$C62)+($G13*$C62)+($H13*$C62)+($I13*$C62)/$E$6</f>
        <v>0</v>
      </c>
      <c r="J62" s="899">
        <f>($F13*$C62)+($G13*$C62)+($H13*$C62)+($I13*$C62)+($J13*$C62)/$E$6</f>
        <v>0</v>
      </c>
      <c r="K62" s="978">
        <f>($F13*$C62)+($G13*$C62)+($H13*$C62)+($I13*$C62)+($J13*$C62)+($K13*$C62)/$E$6</f>
        <v>0</v>
      </c>
      <c r="L62" s="930">
        <f>'11.2. Нови активи отч.год.'!L63</f>
        <v>0</v>
      </c>
      <c r="M62" s="898">
        <f>($M13*$C62)/$E$6</f>
        <v>0</v>
      </c>
      <c r="N62" s="899">
        <f>($M13*$C62)+($N13*$C62)/$E$6</f>
        <v>0</v>
      </c>
      <c r="O62" s="899">
        <f>($M13*$C62)+($N13*$C62)+($O13*$C62)/$E$6</f>
        <v>0</v>
      </c>
      <c r="P62" s="899">
        <f>($M13*$C62)+($N13*$C62)+($O13*$C62)+($P13*$C62)/$E$6</f>
        <v>0</v>
      </c>
      <c r="Q62" s="978">
        <f>($M13*$C62)+($N13*$C62)+($O13*$C62)+($P13*$C62)+($Q13*$C62)/$E$6</f>
        <v>0</v>
      </c>
      <c r="R62" s="900">
        <f>($M13*$C62)+($N13*$C62)+($O13*$C62)+($P13*$C62)+($Q13*$C62)+($R13*$C62)/$E$6</f>
        <v>0</v>
      </c>
      <c r="S62" s="1652">
        <f>'11.2. Нови активи отч.год.'!S63</f>
        <v>0</v>
      </c>
      <c r="T62" s="2794">
        <f>($T13*$C62)/$E$6</f>
        <v>0</v>
      </c>
      <c r="U62" s="899">
        <f>($T13*$C62)+($U13*$C62)/$E$6</f>
        <v>0</v>
      </c>
      <c r="V62" s="899">
        <f>($T13*$C62)+($U13*$C62)+($V13*$C62)/$E$6</f>
        <v>0</v>
      </c>
      <c r="W62" s="899">
        <f>($T13*$C62)+($U13*$C62)+($V13*$C62)+($W13*$C62)/$E$6</f>
        <v>0</v>
      </c>
      <c r="X62" s="899">
        <f>($T13*$C62)+($U13*$C62)+($V13*$C62)+($W13*$C62)+($X13*$C62)/$E$6</f>
        <v>0</v>
      </c>
      <c r="Y62" s="978">
        <f>($T13*$C62)+($U13*$C62)+($V13*$C62)+($W13*$C62)+($X13*$C62)+($Y13*$C62)/$E$6</f>
        <v>0</v>
      </c>
      <c r="Z62" s="930">
        <f>'11.2. Нови активи отч.год.'!Z63</f>
        <v>0</v>
      </c>
      <c r="AA62" s="898">
        <f>($AA13*$C62)/$E$6</f>
        <v>0</v>
      </c>
      <c r="AB62" s="899">
        <f>($AA13*$C62)+($AB13*$C62)/$E$6</f>
        <v>0</v>
      </c>
      <c r="AC62" s="899">
        <f>($AA13*$C62)+($AB13*$C62)+($AC13*$C62)/$E$6</f>
        <v>0</v>
      </c>
      <c r="AD62" s="899">
        <f>($AA13*$C62)+($AB13*$C62)+($AC13*$C62)+($AD13*$C62)/$E$6</f>
        <v>0</v>
      </c>
      <c r="AE62" s="899">
        <f>($AA13*$C62)+($AB13*$C62)+($AC13*$C62)+($AD13*$C62)+($AE13*$C62)/$E$6</f>
        <v>0</v>
      </c>
      <c r="AF62" s="900">
        <f>($AA13*$C62)+($AB13*$C62)+($AC13*$C62)+($AD13*$C62)+($AE13*$C62)+($AF13*$C62)/$E$6</f>
        <v>0</v>
      </c>
      <c r="AG62" s="639"/>
      <c r="AH62" s="564"/>
    </row>
    <row r="63" spans="1:34" s="261" customFormat="1">
      <c r="A63" s="939">
        <v>2</v>
      </c>
      <c r="B63" s="939">
        <v>202</v>
      </c>
      <c r="C63" s="940">
        <v>0.03</v>
      </c>
      <c r="D63" s="941" t="s">
        <v>576</v>
      </c>
      <c r="E63" s="964">
        <f>SUM(E64:E65)</f>
        <v>0</v>
      </c>
      <c r="F63" s="979">
        <f>SUM(F64:F65)</f>
        <v>0</v>
      </c>
      <c r="G63" s="980">
        <f t="shared" ref="G63:AF63" si="14">SUM(G64:G65)</f>
        <v>0.09</v>
      </c>
      <c r="H63" s="980">
        <f t="shared" si="14"/>
        <v>0.32999999999999996</v>
      </c>
      <c r="I63" s="980">
        <f t="shared" si="14"/>
        <v>1.0049999999999999</v>
      </c>
      <c r="J63" s="980">
        <f t="shared" si="14"/>
        <v>1.98</v>
      </c>
      <c r="K63" s="981">
        <f t="shared" si="14"/>
        <v>2.88</v>
      </c>
      <c r="L63" s="982">
        <f t="shared" si="14"/>
        <v>0</v>
      </c>
      <c r="M63" s="979">
        <f t="shared" si="14"/>
        <v>0</v>
      </c>
      <c r="N63" s="980">
        <f t="shared" si="14"/>
        <v>0</v>
      </c>
      <c r="O63" s="980">
        <f t="shared" si="14"/>
        <v>0</v>
      </c>
      <c r="P63" s="980">
        <f t="shared" si="14"/>
        <v>0</v>
      </c>
      <c r="Q63" s="980">
        <f t="shared" si="14"/>
        <v>0</v>
      </c>
      <c r="R63" s="983">
        <f t="shared" si="14"/>
        <v>0</v>
      </c>
      <c r="S63" s="982">
        <f t="shared" si="14"/>
        <v>0</v>
      </c>
      <c r="T63" s="984">
        <f t="shared" si="14"/>
        <v>0</v>
      </c>
      <c r="U63" s="980">
        <f t="shared" si="14"/>
        <v>0</v>
      </c>
      <c r="V63" s="980">
        <f t="shared" si="14"/>
        <v>0</v>
      </c>
      <c r="W63" s="980">
        <f t="shared" si="14"/>
        <v>0</v>
      </c>
      <c r="X63" s="980">
        <f t="shared" si="14"/>
        <v>0</v>
      </c>
      <c r="Y63" s="983">
        <f t="shared" si="14"/>
        <v>0</v>
      </c>
      <c r="Z63" s="982">
        <f t="shared" si="14"/>
        <v>0</v>
      </c>
      <c r="AA63" s="984">
        <f t="shared" si="14"/>
        <v>0</v>
      </c>
      <c r="AB63" s="980">
        <f t="shared" si="14"/>
        <v>1.89</v>
      </c>
      <c r="AC63" s="980">
        <f t="shared" si="14"/>
        <v>8.43</v>
      </c>
      <c r="AD63" s="980">
        <f t="shared" si="14"/>
        <v>13.829999999999998</v>
      </c>
      <c r="AE63" s="980">
        <f t="shared" si="14"/>
        <v>15.629999999999999</v>
      </c>
      <c r="AF63" s="983">
        <f t="shared" si="14"/>
        <v>18.18</v>
      </c>
      <c r="AG63" s="640"/>
      <c r="AH63" s="563"/>
    </row>
    <row r="64" spans="1:34">
      <c r="A64" s="277"/>
      <c r="B64" s="277">
        <v>20201</v>
      </c>
      <c r="C64" s="282">
        <v>0.03</v>
      </c>
      <c r="D64" s="280" t="s">
        <v>597</v>
      </c>
      <c r="E64" s="930">
        <f>'11.2. Нови активи отч.год.'!E65</f>
        <v>0</v>
      </c>
      <c r="F64" s="898">
        <f>($F15*$C64)/$E$6</f>
        <v>0</v>
      </c>
      <c r="G64" s="899">
        <f>($F15*$C64)+($G15*$C64)/$E$6</f>
        <v>0</v>
      </c>
      <c r="H64" s="899">
        <f>($F15*$C64)+($G15*$C64)+($H15*$C64)/$E$6</f>
        <v>0</v>
      </c>
      <c r="I64" s="899">
        <f>($F15*$C64)+($G15*$C64)+($H15*$C64)+($I15*$C64)/$E$6</f>
        <v>0</v>
      </c>
      <c r="J64" s="899">
        <f>($F15*$C64)+($G15*$C64)+($H15*$C64)+($I15*$C64)+($J15*$C64)/$E$6</f>
        <v>0</v>
      </c>
      <c r="K64" s="978">
        <f>($F15*$C64)+($G15*$C64)+($H15*$C64)+($I15*$C64)+($J15*$C64)+($K15*$C64)/$E$6</f>
        <v>0</v>
      </c>
      <c r="L64" s="930">
        <f>'11.2. Нови активи отч.год.'!L65</f>
        <v>0</v>
      </c>
      <c r="M64" s="898">
        <f>($M15*$C64)/$E$6</f>
        <v>0</v>
      </c>
      <c r="N64" s="899">
        <f>($M15*$C64)+($N15*$C64)/$E$6</f>
        <v>0</v>
      </c>
      <c r="O64" s="899">
        <f>($M15*$C64)+($N15*$C64)+($O15*$C64)/$E$6</f>
        <v>0</v>
      </c>
      <c r="P64" s="899">
        <f>($M15*$C64)+($N15*$C64)+($O15*$C64)+($P15*$C64)/$E$6</f>
        <v>0</v>
      </c>
      <c r="Q64" s="978">
        <f>($M15*$C64)+($N15*$C64)+($O15*$C64)+($P15*$C64)+($Q15*$C64)/$E$6</f>
        <v>0</v>
      </c>
      <c r="R64" s="900">
        <f>($M15*$C64)+($N15*$C64)+($O15*$C64)+($P15*$C64)+($Q15*$C64)+($R15*$C64)/$E$6</f>
        <v>0</v>
      </c>
      <c r="S64" s="1652">
        <f>'11.2. Нови активи отч.год.'!S65</f>
        <v>0</v>
      </c>
      <c r="T64" s="2794">
        <f>($T15*$C64)/$E$6</f>
        <v>0</v>
      </c>
      <c r="U64" s="899">
        <f>($T15*$C64)+($U15*$C64)/$E$6</f>
        <v>0</v>
      </c>
      <c r="V64" s="899">
        <f>($T15*$C64)+($U15*$C64)+($V15*$C64)/$E$6</f>
        <v>0</v>
      </c>
      <c r="W64" s="899">
        <f>($T15*$C64)+($U15*$C64)+($V15*$C64)+($W15*$C64)/$E$6</f>
        <v>0</v>
      </c>
      <c r="X64" s="899">
        <f>($T15*$C64)+($U15*$C64)+($V15*$C64)+($W15*$C64)+($X15*$C64)/$E$6</f>
        <v>0</v>
      </c>
      <c r="Y64" s="978">
        <f>($T15*$C64)+($U15*$C64)+($V15*$C64)+($W15*$C64)+($X15*$C64)+($Y15*$C64)/$E$6</f>
        <v>0</v>
      </c>
      <c r="Z64" s="930">
        <f>'11.2. Нови активи отч.год.'!Z65</f>
        <v>0</v>
      </c>
      <c r="AA64" s="898">
        <f>($AA15*$C64)/$E$6</f>
        <v>0</v>
      </c>
      <c r="AB64" s="899">
        <f>($AA15*$C64)+($AB15*$C64)/$E$6</f>
        <v>1.89</v>
      </c>
      <c r="AC64" s="899">
        <f>($AA15*$C64)+($AB15*$C64)+($AC15*$C64)/$E$6</f>
        <v>8.43</v>
      </c>
      <c r="AD64" s="899">
        <f>($AA15*$C64)+($AB15*$C64)+($AC15*$C64)+($AD15*$C64)/$E$6</f>
        <v>13.829999999999998</v>
      </c>
      <c r="AE64" s="899">
        <f>($AA15*$C64)+($AB15*$C64)+($AC15*$C64)+($AD15*$C64)+($AE15*$C64)/$E$6</f>
        <v>15.629999999999999</v>
      </c>
      <c r="AF64" s="900">
        <f>($AA15*$C64)+($AB15*$C64)+($AC15*$C64)+($AD15*$C64)+($AE15*$C64)+($AF15*$C64)/$E$6</f>
        <v>18.18</v>
      </c>
      <c r="AG64" s="639"/>
      <c r="AH64" s="564"/>
    </row>
    <row r="65" spans="1:34">
      <c r="A65" s="277"/>
      <c r="B65" s="277">
        <v>20202</v>
      </c>
      <c r="C65" s="282">
        <v>0.03</v>
      </c>
      <c r="D65" s="280" t="s">
        <v>598</v>
      </c>
      <c r="E65" s="930">
        <f>'11.2. Нови активи отч.год.'!E66</f>
        <v>0</v>
      </c>
      <c r="F65" s="898">
        <f>($F16*$C65)/$E$6</f>
        <v>0</v>
      </c>
      <c r="G65" s="899">
        <f>($F16*$C65)+($G16*$C65)/$E$6</f>
        <v>0.09</v>
      </c>
      <c r="H65" s="899">
        <f>($F16*$C65)+($G16*$C65)+($H16*$C65)/$E$6</f>
        <v>0.32999999999999996</v>
      </c>
      <c r="I65" s="899">
        <f>($F16*$C65)+($G16*$C65)+($H16*$C65)+($I16*$C65)/$E$6</f>
        <v>1.0049999999999999</v>
      </c>
      <c r="J65" s="899">
        <f>($F16*$C65)+($G16*$C65)+($H16*$C65)+($I16*$C65)+($J16*$C65)/$E$6</f>
        <v>1.98</v>
      </c>
      <c r="K65" s="978">
        <f>($F16*$C65)+($G16*$C65)+($H16*$C65)+($I16*$C65)+($J16*$C65)+($K16*$C65)/$E$6</f>
        <v>2.88</v>
      </c>
      <c r="L65" s="930">
        <f>'11.2. Нови активи отч.год.'!L66</f>
        <v>0</v>
      </c>
      <c r="M65" s="898">
        <f>($M16*$C65)/$E$6</f>
        <v>0</v>
      </c>
      <c r="N65" s="899">
        <f>($M16*$C65)+($N16*$C65)/$E$6</f>
        <v>0</v>
      </c>
      <c r="O65" s="899">
        <f>($M16*$C65)+($N16*$C65)+($O16*$C65)/$E$6</f>
        <v>0</v>
      </c>
      <c r="P65" s="899">
        <f>($M16*$C65)+($N16*$C65)+($O16*$C65)+($P16*$C65)/$E$6</f>
        <v>0</v>
      </c>
      <c r="Q65" s="978">
        <f>($M16*$C65)+($N16*$C65)+($O16*$C65)+($P16*$C65)+($Q16*$C65)/$E$6</f>
        <v>0</v>
      </c>
      <c r="R65" s="900">
        <f>($M16*$C65)+($N16*$C65)+($O16*$C65)+($P16*$C65)+($Q16*$C65)+($R16*$C65)/$E$6</f>
        <v>0</v>
      </c>
      <c r="S65" s="1652">
        <f>'11.2. Нови активи отч.год.'!S66</f>
        <v>0</v>
      </c>
      <c r="T65" s="2794">
        <f>($T16*$C65)/$E$6</f>
        <v>0</v>
      </c>
      <c r="U65" s="899">
        <f>($T16*$C65)+($U16*$C65)/$E$6</f>
        <v>0</v>
      </c>
      <c r="V65" s="899">
        <f>($T16*$C65)+($U16*$C65)+($V16*$C65)/$E$6</f>
        <v>0</v>
      </c>
      <c r="W65" s="899">
        <f>($T16*$C65)+($U16*$C65)+($V16*$C65)+($W16*$C65)/$E$6</f>
        <v>0</v>
      </c>
      <c r="X65" s="899">
        <f>($T16*$C65)+($U16*$C65)+($V16*$C65)+($W16*$C65)+($X16*$C65)/$E$6</f>
        <v>0</v>
      </c>
      <c r="Y65" s="978">
        <f>($T16*$C65)+($U16*$C65)+($V16*$C65)+($W16*$C65)+($X16*$C65)+($Y16*$C65)/$E$6</f>
        <v>0</v>
      </c>
      <c r="Z65" s="930">
        <f>'11.2. Нови активи отч.год.'!Z66</f>
        <v>0</v>
      </c>
      <c r="AA65" s="898">
        <f>($AA16*$C65)/$E$6</f>
        <v>0</v>
      </c>
      <c r="AB65" s="899">
        <f>($AA16*$C65)+($AB16*$C65)/$E$6</f>
        <v>0</v>
      </c>
      <c r="AC65" s="899">
        <f>($AA16*$C65)+($AB16*$C65)+($AC16*$C65)/$E$6</f>
        <v>0</v>
      </c>
      <c r="AD65" s="899">
        <f>($AA16*$C65)+($AB16*$C65)+($AC16*$C65)+($AD16*$C65)/$E$6</f>
        <v>0</v>
      </c>
      <c r="AE65" s="899">
        <f>($AA16*$C65)+($AB16*$C65)+($AC16*$C65)+($AD16*$C65)+($AE16*$C65)/$E$6</f>
        <v>0</v>
      </c>
      <c r="AF65" s="900">
        <f>($AA16*$C65)+($AB16*$C65)+($AC16*$C65)+($AD16*$C65)+($AE16*$C65)+($AF16*$C65)/$E$6</f>
        <v>0</v>
      </c>
      <c r="AG65" s="639"/>
      <c r="AH65" s="564"/>
    </row>
    <row r="66" spans="1:34" s="316" customFormat="1" ht="12.75" customHeight="1">
      <c r="A66" s="943">
        <v>3</v>
      </c>
      <c r="B66" s="939">
        <v>203</v>
      </c>
      <c r="C66" s="940"/>
      <c r="D66" s="944" t="s">
        <v>577</v>
      </c>
      <c r="E66" s="985">
        <f t="shared" ref="E66:AF66" si="15">SUM(E67:E77)-E70-E73</f>
        <v>20</v>
      </c>
      <c r="F66" s="979">
        <f t="shared" si="15"/>
        <v>4.1500000000000004</v>
      </c>
      <c r="G66" s="980">
        <f t="shared" si="15"/>
        <v>18.350000000000005</v>
      </c>
      <c r="H66" s="980">
        <f t="shared" si="15"/>
        <v>35.900000000000013</v>
      </c>
      <c r="I66" s="980">
        <f t="shared" si="15"/>
        <v>61.849999999999994</v>
      </c>
      <c r="J66" s="980">
        <f t="shared" si="15"/>
        <v>115.5</v>
      </c>
      <c r="K66" s="981">
        <f t="shared" si="15"/>
        <v>175.94999999999996</v>
      </c>
      <c r="L66" s="982">
        <f t="shared" si="15"/>
        <v>0</v>
      </c>
      <c r="M66" s="979">
        <f t="shared" si="15"/>
        <v>5.4499999999999993</v>
      </c>
      <c r="N66" s="980">
        <f t="shared" si="15"/>
        <v>45.20000000000001</v>
      </c>
      <c r="O66" s="980">
        <f t="shared" si="15"/>
        <v>79.5</v>
      </c>
      <c r="P66" s="980">
        <f t="shared" si="15"/>
        <v>82.2</v>
      </c>
      <c r="Q66" s="980">
        <f t="shared" si="15"/>
        <v>96.949999999999989</v>
      </c>
      <c r="R66" s="983">
        <f t="shared" si="15"/>
        <v>115.5</v>
      </c>
      <c r="S66" s="982">
        <f t="shared" si="15"/>
        <v>0</v>
      </c>
      <c r="T66" s="984">
        <f t="shared" si="15"/>
        <v>2.7</v>
      </c>
      <c r="U66" s="980">
        <f t="shared" si="15"/>
        <v>6.1</v>
      </c>
      <c r="V66" s="980">
        <f t="shared" si="15"/>
        <v>8.8000000000000007</v>
      </c>
      <c r="W66" s="980">
        <f t="shared" si="15"/>
        <v>13.05</v>
      </c>
      <c r="X66" s="980">
        <f t="shared" si="15"/>
        <v>17.3</v>
      </c>
      <c r="Y66" s="983">
        <f t="shared" si="15"/>
        <v>21.95</v>
      </c>
      <c r="Z66" s="982">
        <f t="shared" si="15"/>
        <v>0</v>
      </c>
      <c r="AA66" s="984">
        <f t="shared" si="15"/>
        <v>0</v>
      </c>
      <c r="AB66" s="980">
        <f t="shared" si="15"/>
        <v>0.75</v>
      </c>
      <c r="AC66" s="980">
        <f t="shared" si="15"/>
        <v>15.450000000000001</v>
      </c>
      <c r="AD66" s="980">
        <f t="shared" si="15"/>
        <v>41.550000000000004</v>
      </c>
      <c r="AE66" s="980">
        <f t="shared" si="15"/>
        <v>70.25</v>
      </c>
      <c r="AF66" s="983">
        <f t="shared" si="15"/>
        <v>103.35000000000001</v>
      </c>
      <c r="AG66" s="641"/>
      <c r="AH66" s="565"/>
    </row>
    <row r="67" spans="1:34">
      <c r="A67" s="277"/>
      <c r="B67" s="277">
        <v>20301</v>
      </c>
      <c r="C67" s="282">
        <v>0.1</v>
      </c>
      <c r="D67" s="275" t="s">
        <v>599</v>
      </c>
      <c r="E67" s="930">
        <f>'11.2. Нови активи отч.год.'!E68</f>
        <v>2</v>
      </c>
      <c r="F67" s="898">
        <f>($F18*$C67)/$E$6</f>
        <v>0</v>
      </c>
      <c r="G67" s="899">
        <f>($F18*$C67)+($G18*$C67)/$E$6</f>
        <v>0</v>
      </c>
      <c r="H67" s="899">
        <f>($F18*$C67)+($G18*$C67)+($H18*$C67)/$E$6</f>
        <v>0</v>
      </c>
      <c r="I67" s="899">
        <f>($F18*$C67)+($G18*$C67)+($H18*$C67)+($I18*$C67)/$E$6</f>
        <v>0</v>
      </c>
      <c r="J67" s="899">
        <f>($F18*$C67)+($G18*$C67)+($H18*$C67)+($I18*$C67)+($J18*$C67)/$E$6</f>
        <v>0</v>
      </c>
      <c r="K67" s="978">
        <f>($F18*$C67)+($G18*$C67)+($H18*$C67)+($I18*$C67)+($J18*$C67)+($K18*$C67)/$E$6</f>
        <v>0</v>
      </c>
      <c r="L67" s="930">
        <f>'11.2. Нови активи отч.год.'!L68</f>
        <v>0</v>
      </c>
      <c r="M67" s="898">
        <f>($M18*$C67)/$E$6</f>
        <v>0</v>
      </c>
      <c r="N67" s="899">
        <f>($M18*$C67)+($N18*$C67)/$E$6</f>
        <v>0</v>
      </c>
      <c r="O67" s="899">
        <f>($M18*$C67)+($N18*$C67)+($O18*$C67)/$E$6</f>
        <v>0</v>
      </c>
      <c r="P67" s="899">
        <f>($M18*$C67)+($N18*$C67)+($O18*$C67)+($P18*$C67)/$E$6</f>
        <v>0</v>
      </c>
      <c r="Q67" s="978">
        <f>($M18*$C67)+($N18*$C67)+($O18*$C67)+($P18*$C67)+($Q18*$C67)/$E$6</f>
        <v>0</v>
      </c>
      <c r="R67" s="900">
        <f>($M18*$C67)+($N18*$C67)+($O18*$C67)+($P18*$C67)+($Q18*$C67)+($R18*$C67)/$E$6</f>
        <v>0</v>
      </c>
      <c r="S67" s="1652">
        <f>'11.2. Нови активи отч.год.'!S68</f>
        <v>0</v>
      </c>
      <c r="T67" s="2794">
        <f>($T18*$C67)/$E$6</f>
        <v>0</v>
      </c>
      <c r="U67" s="899">
        <f>($T18*$C67)+($U18*$C67)/$E$6</f>
        <v>0</v>
      </c>
      <c r="V67" s="899">
        <f>($T18*$C67)+($U18*$C67)+($V18*$C67)/$E$6</f>
        <v>0</v>
      </c>
      <c r="W67" s="899">
        <f>($T18*$C67)+($U18*$C67)+($V18*$C67)+($W18*$C67)/$E$6</f>
        <v>0</v>
      </c>
      <c r="X67" s="899">
        <f>($T18*$C67)+($U18*$C67)+($V18*$C67)+($W18*$C67)+($X18*$C67)/$E$6</f>
        <v>0</v>
      </c>
      <c r="Y67" s="978">
        <f>($T18*$C67)+($U18*$C67)+($V18*$C67)+($W18*$C67)+($X18*$C67)+($Y18*$C67)/$E$6</f>
        <v>0</v>
      </c>
      <c r="Z67" s="930">
        <f>'11.2. Нови активи отч.год.'!Z68</f>
        <v>0</v>
      </c>
      <c r="AA67" s="898">
        <f>($AA18*$C67)/$E$6</f>
        <v>0</v>
      </c>
      <c r="AB67" s="899">
        <f>($AA18*$C67)+($AB18*$C67)/$E$6</f>
        <v>0</v>
      </c>
      <c r="AC67" s="899">
        <f>($AA18*$C67)+($AB18*$C67)+($AC18*$C67)/$E$6</f>
        <v>0</v>
      </c>
      <c r="AD67" s="899">
        <f>($AA18*$C67)+($AB18*$C67)+($AC18*$C67)+($AD18*$C67)/$E$6</f>
        <v>0</v>
      </c>
      <c r="AE67" s="899">
        <f>($AA18*$C67)+($AB18*$C67)+($AC18*$C67)+($AD18*$C67)+($AE18*$C67)/$E$6</f>
        <v>0</v>
      </c>
      <c r="AF67" s="900">
        <f>($AA18*$C67)+($AB18*$C67)+($AC18*$C67)+($AD18*$C67)+($AE18*$C67)+($AF18*$C67)/$E$6</f>
        <v>0</v>
      </c>
      <c r="AG67" s="642"/>
      <c r="AH67" s="564"/>
    </row>
    <row r="68" spans="1:34">
      <c r="A68" s="277"/>
      <c r="B68" s="277">
        <v>20302</v>
      </c>
      <c r="C68" s="282">
        <v>0.1</v>
      </c>
      <c r="D68" s="275" t="s">
        <v>600</v>
      </c>
      <c r="E68" s="930">
        <f>'11.2. Нови активи отч.год.'!E69</f>
        <v>0</v>
      </c>
      <c r="F68" s="898">
        <f>($F19*$C68)/$E$6</f>
        <v>0</v>
      </c>
      <c r="G68" s="887">
        <f>($F19*$C68)+($G19*$C68)/$E$6</f>
        <v>0</v>
      </c>
      <c r="H68" s="887">
        <f>($F19*$C68)+($G19*$C68)+($H19*$C68)/$E$6</f>
        <v>1</v>
      </c>
      <c r="I68" s="887">
        <f>($F19*$C68)+($G19*$C68)+($H19*$C68)+($I19*$C68)/$E$6</f>
        <v>2.5499999999999998</v>
      </c>
      <c r="J68" s="887">
        <f>($F19*$C68)+($G19*$C68)+($H19*$C68)+($I19*$C68)+($J19*$C68)/$E$6</f>
        <v>3.95</v>
      </c>
      <c r="K68" s="986">
        <f>($F19*$C68)+($G19*$C68)+($H19*$C68)+($I19*$C68)+($J19*$C68)+($K19*$C68)/$E$6</f>
        <v>6.5500000000000007</v>
      </c>
      <c r="L68" s="930">
        <f>'11.2. Нови активи отч.год.'!L69</f>
        <v>0</v>
      </c>
      <c r="M68" s="886">
        <f>($M19*$C68)/$E$6</f>
        <v>0</v>
      </c>
      <c r="N68" s="887">
        <f>($M19*$C68)+($N19*$C68)/$E$6</f>
        <v>0</v>
      </c>
      <c r="O68" s="887">
        <f>($M19*$C68)+($N19*$C68)+($O19*$C68)/$E$6</f>
        <v>0</v>
      </c>
      <c r="P68" s="887">
        <f>($M19*$C68)+($N19*$C68)+($O19*$C68)+($P19*$C68)/$E$6</f>
        <v>0</v>
      </c>
      <c r="Q68" s="986">
        <f>($M19*$C68)+($N19*$C68)+($O19*$C68)+($P19*$C68)+($Q19*$C68)/$E$6</f>
        <v>0</v>
      </c>
      <c r="R68" s="888">
        <f>($M19*$C68)+($N19*$C68)+($O19*$C68)+($P19*$C68)+($Q19*$C68)+($R19*$C68)/$E$6</f>
        <v>0</v>
      </c>
      <c r="S68" s="1652">
        <f>'11.2. Нови активи отч.год.'!S69</f>
        <v>0</v>
      </c>
      <c r="T68" s="933">
        <f>($T19*$C68)/$E$6</f>
        <v>0</v>
      </c>
      <c r="U68" s="887">
        <f>($T19*$C68)+($U19*$C68)/$E$6</f>
        <v>0</v>
      </c>
      <c r="V68" s="887">
        <f>($T19*$C68)+($U19*$C68)+($V19*$C68)/$E$6</f>
        <v>0</v>
      </c>
      <c r="W68" s="887">
        <f>($T19*$C68)+($U19*$C68)+($V19*$C68)+($W19*$C68)/$E$6</f>
        <v>0.5</v>
      </c>
      <c r="X68" s="887">
        <f>($T19*$C68)+($U19*$C68)+($V19*$C68)+($W19*$C68)+($X19*$C68)/$E$6</f>
        <v>1.25</v>
      </c>
      <c r="Y68" s="986">
        <f>($T19*$C68)+($U19*$C68)+($V19*$C68)+($W19*$C68)+($X19*$C68)+($Y19*$C68)/$E$6</f>
        <v>2.4</v>
      </c>
      <c r="Z68" s="930">
        <f>'11.2. Нови активи отч.год.'!Z69</f>
        <v>0</v>
      </c>
      <c r="AA68" s="886">
        <f>($AA19*$C68)/$E$6</f>
        <v>0</v>
      </c>
      <c r="AB68" s="887">
        <f>($AA19*$C68)+($AB19*$C68)/$E$6</f>
        <v>0</v>
      </c>
      <c r="AC68" s="887">
        <f>($AA19*$C68)+($AB19*$C68)+($AC19*$C68)/$E$6</f>
        <v>0</v>
      </c>
      <c r="AD68" s="887">
        <f>($AA19*$C68)+($AB19*$C68)+($AC19*$C68)+($AD19*$C68)/$E$6</f>
        <v>0</v>
      </c>
      <c r="AE68" s="887">
        <f>($AA19*$C68)+($AB19*$C68)+($AC19*$C68)+($AD19*$C68)+($AE19*$C68)/$E$6</f>
        <v>0</v>
      </c>
      <c r="AF68" s="888">
        <f>($AA19*$C68)+($AB19*$C68)+($AC19*$C68)+($AD19*$C68)+($AE19*$C68)+($AF19*$C68)/$E$6</f>
        <v>0</v>
      </c>
      <c r="AG68" s="306"/>
      <c r="AH68" s="564"/>
    </row>
    <row r="69" spans="1:34">
      <c r="A69" s="277"/>
      <c r="B69" s="277">
        <v>20303</v>
      </c>
      <c r="C69" s="282">
        <v>0.1</v>
      </c>
      <c r="D69" s="275" t="s">
        <v>578</v>
      </c>
      <c r="E69" s="930">
        <f>'11.2. Нови активи отч.год.'!E70</f>
        <v>13</v>
      </c>
      <c r="F69" s="898">
        <f>($F20*$C69)/$E$6</f>
        <v>0</v>
      </c>
      <c r="G69" s="887">
        <f>($F20*$C69)+($G20*$C69)/$E$6</f>
        <v>0</v>
      </c>
      <c r="H69" s="887">
        <f>($F20*$C69)+($G20*$C69)+($H20*$C69)/$E$6</f>
        <v>0</v>
      </c>
      <c r="I69" s="887">
        <f>($F20*$C69)+($G20*$C69)+($H20*$C69)+($I20*$C69)/$E$6</f>
        <v>2.25</v>
      </c>
      <c r="J69" s="887">
        <f>($F20*$C69)+($G20*$C69)+($H20*$C69)+($I20*$C69)+($J20*$C69)/$E$6</f>
        <v>17.850000000000001</v>
      </c>
      <c r="K69" s="986">
        <f>($F20*$C69)+($G20*$C69)+($H20*$C69)+($I20*$C69)+($J20*$C69)+($K20*$C69)/$E$6</f>
        <v>33.450000000000003</v>
      </c>
      <c r="L69" s="930">
        <f>'11.2. Нови активи отч.год.'!L70</f>
        <v>0</v>
      </c>
      <c r="M69" s="886">
        <f>($M20*$C69)/$E$6</f>
        <v>0.55000000000000004</v>
      </c>
      <c r="N69" s="887">
        <f>($M20*$C69)+($N20*$C69)/$E$6</f>
        <v>35.400000000000006</v>
      </c>
      <c r="O69" s="887">
        <f>($M20*$C69)+($N20*$C69)+($O20*$C69)/$E$6</f>
        <v>69.7</v>
      </c>
      <c r="P69" s="887">
        <f>($M20*$C69)+($N20*$C69)+($O20*$C69)+($P20*$C69)/$E$6</f>
        <v>69.7</v>
      </c>
      <c r="Q69" s="986">
        <f>($M20*$C69)+($N20*$C69)+($O20*$C69)+($P20*$C69)+($Q20*$C69)/$E$6</f>
        <v>80.800000000000011</v>
      </c>
      <c r="R69" s="888">
        <f>($M20*$C69)+($N20*$C69)+($O20*$C69)+($P20*$C69)+($Q20*$C69)+($R20*$C69)/$E$6</f>
        <v>97.45</v>
      </c>
      <c r="S69" s="1652">
        <f>'11.2. Нови активи отч.год.'!S70</f>
        <v>0</v>
      </c>
      <c r="T69" s="933">
        <f>($T20*$C69)/$E$6</f>
        <v>0.4</v>
      </c>
      <c r="U69" s="887">
        <f>($T20*$C69)+($U20*$C69)/$E$6</f>
        <v>0.8</v>
      </c>
      <c r="V69" s="887">
        <f>($T20*$C69)+($U20*$C69)+($V20*$C69)/$E$6</f>
        <v>0.8</v>
      </c>
      <c r="W69" s="887">
        <f>($T20*$C69)+($U20*$C69)+($V20*$C69)+($W20*$C69)/$E$6</f>
        <v>0.8</v>
      </c>
      <c r="X69" s="887">
        <f>($T20*$C69)+($U20*$C69)+($V20*$C69)+($W20*$C69)+($X20*$C69)/$E$6</f>
        <v>0.8</v>
      </c>
      <c r="Y69" s="986">
        <f>($T20*$C69)+($U20*$C69)+($V20*$C69)+($W20*$C69)+($X20*$C69)+($Y20*$C69)/$E$6</f>
        <v>0.8</v>
      </c>
      <c r="Z69" s="930">
        <f>'11.2. Нови активи отч.год.'!Z70</f>
        <v>0</v>
      </c>
      <c r="AA69" s="886">
        <f>($AA20*$C69)/$E$6</f>
        <v>0</v>
      </c>
      <c r="AB69" s="887">
        <f>($AA20*$C69)+($AB20*$C69)/$E$6</f>
        <v>0</v>
      </c>
      <c r="AC69" s="887">
        <f>($AA20*$C69)+($AB20*$C69)+($AC20*$C69)/$E$6</f>
        <v>0</v>
      </c>
      <c r="AD69" s="887">
        <f>($AA20*$C69)+($AB20*$C69)+($AC20*$C69)+($AD20*$C69)/$E$6</f>
        <v>0</v>
      </c>
      <c r="AE69" s="887">
        <f>($AA20*$C69)+($AB20*$C69)+($AC20*$C69)+($AD20*$C69)+($AE20*$C69)/$E$6</f>
        <v>0</v>
      </c>
      <c r="AF69" s="888">
        <f>($AA20*$C69)+($AB20*$C69)+($AC20*$C69)+($AD20*$C69)+($AE20*$C69)+($AF20*$C69)/$E$6</f>
        <v>0</v>
      </c>
      <c r="AG69" s="306"/>
      <c r="AH69" s="564"/>
    </row>
    <row r="70" spans="1:34">
      <c r="A70" s="277"/>
      <c r="B70" s="277">
        <v>20304</v>
      </c>
      <c r="C70" s="282">
        <v>0.1</v>
      </c>
      <c r="D70" s="275" t="s">
        <v>579</v>
      </c>
      <c r="E70" s="946">
        <f t="shared" ref="E70:AF70" si="16">SUM(E71:E72)</f>
        <v>0</v>
      </c>
      <c r="F70" s="947">
        <f t="shared" si="16"/>
        <v>0</v>
      </c>
      <c r="G70" s="948">
        <f t="shared" si="16"/>
        <v>0</v>
      </c>
      <c r="H70" s="948">
        <f t="shared" si="16"/>
        <v>0</v>
      </c>
      <c r="I70" s="948">
        <f t="shared" si="16"/>
        <v>0</v>
      </c>
      <c r="J70" s="948">
        <f t="shared" si="16"/>
        <v>0</v>
      </c>
      <c r="K70" s="987">
        <f t="shared" si="16"/>
        <v>0</v>
      </c>
      <c r="L70" s="950">
        <f t="shared" si="16"/>
        <v>0</v>
      </c>
      <c r="M70" s="947">
        <f t="shared" si="16"/>
        <v>0</v>
      </c>
      <c r="N70" s="948">
        <f t="shared" si="16"/>
        <v>0</v>
      </c>
      <c r="O70" s="948">
        <f t="shared" si="16"/>
        <v>0</v>
      </c>
      <c r="P70" s="948">
        <f t="shared" si="16"/>
        <v>0</v>
      </c>
      <c r="Q70" s="948">
        <f t="shared" si="16"/>
        <v>0</v>
      </c>
      <c r="R70" s="949">
        <f t="shared" si="16"/>
        <v>0</v>
      </c>
      <c r="S70" s="950">
        <f t="shared" si="16"/>
        <v>0</v>
      </c>
      <c r="T70" s="951">
        <f t="shared" si="16"/>
        <v>0</v>
      </c>
      <c r="U70" s="948">
        <f t="shared" si="16"/>
        <v>0</v>
      </c>
      <c r="V70" s="948">
        <f t="shared" si="16"/>
        <v>0</v>
      </c>
      <c r="W70" s="948">
        <f t="shared" si="16"/>
        <v>0</v>
      </c>
      <c r="X70" s="948">
        <f t="shared" si="16"/>
        <v>0</v>
      </c>
      <c r="Y70" s="949">
        <f t="shared" si="16"/>
        <v>0</v>
      </c>
      <c r="Z70" s="950">
        <f t="shared" si="16"/>
        <v>0</v>
      </c>
      <c r="AA70" s="951">
        <f t="shared" si="16"/>
        <v>0</v>
      </c>
      <c r="AB70" s="948">
        <f t="shared" si="16"/>
        <v>0</v>
      </c>
      <c r="AC70" s="948">
        <f t="shared" si="16"/>
        <v>0</v>
      </c>
      <c r="AD70" s="948">
        <f t="shared" si="16"/>
        <v>0</v>
      </c>
      <c r="AE70" s="948">
        <f t="shared" si="16"/>
        <v>0</v>
      </c>
      <c r="AF70" s="949">
        <f t="shared" si="16"/>
        <v>0</v>
      </c>
      <c r="AG70" s="306"/>
      <c r="AH70" s="564"/>
    </row>
    <row r="71" spans="1:34" s="618" customFormat="1">
      <c r="A71" s="952"/>
      <c r="B71" s="952">
        <v>2030401</v>
      </c>
      <c r="C71" s="953">
        <v>0.1</v>
      </c>
      <c r="D71" s="272" t="s">
        <v>1375</v>
      </c>
      <c r="E71" s="930">
        <f>'11.2. Нови активи отч.год.'!E72</f>
        <v>0</v>
      </c>
      <c r="F71" s="988">
        <f>($F22*$C71)/$E$6</f>
        <v>0</v>
      </c>
      <c r="G71" s="989">
        <f>($F22*$C71)+($G22*$C71)/$E$6</f>
        <v>0</v>
      </c>
      <c r="H71" s="989">
        <f>($F22*$C71)+($G22*$C71)+($H22*$C71)/$E$6</f>
        <v>0</v>
      </c>
      <c r="I71" s="989">
        <f>($F22*$C71)+($G22*$C71)+($H22*$C71)+($I22*$C71)/$E$6</f>
        <v>0</v>
      </c>
      <c r="J71" s="989">
        <f>($F22*$C71)+($G22*$C71)+($H22*$C71)+($I22*$C71)+($J22*$C71)/$E$6</f>
        <v>0</v>
      </c>
      <c r="K71" s="990">
        <f>($F22*$C71)+($G22*$C71)+($H22*$C71)+($I22*$C71)+($J22*$C71)+($K22*$C71)/$E$6</f>
        <v>0</v>
      </c>
      <c r="L71" s="930">
        <f>'11.2. Нови активи отч.год.'!L72</f>
        <v>0</v>
      </c>
      <c r="M71" s="991">
        <f>($M22*$C71)/$E$6</f>
        <v>0</v>
      </c>
      <c r="N71" s="989">
        <f>($M22*$C71)+($N22*$C71)/$E$6</f>
        <v>0</v>
      </c>
      <c r="O71" s="989">
        <f>($M22*$C71)+($N22*$C71)+($O22*$C71)/$E$6</f>
        <v>0</v>
      </c>
      <c r="P71" s="989">
        <f>($M22*$C71)+($N22*$C71)+($O22*$C71)+($P22*$C71)/$E$6</f>
        <v>0</v>
      </c>
      <c r="Q71" s="990">
        <f>($M22*$C71)+($N22*$C71)+($O22*$C71)+($P22*$C71)+($Q22*$C71)/$E$6</f>
        <v>0</v>
      </c>
      <c r="R71" s="992">
        <f>($M22*$C71)+($N22*$C71)+($O22*$C71)+($P22*$C71)+($Q22*$C71)+($R22*$C71)/$E$6</f>
        <v>0</v>
      </c>
      <c r="S71" s="1652">
        <f>'11.2. Нови активи отч.год.'!S72</f>
        <v>0</v>
      </c>
      <c r="T71" s="2795">
        <f>($T22*$C71)/$E$6</f>
        <v>0</v>
      </c>
      <c r="U71" s="989">
        <f>($T22*$C71)+($U22*$C71)/$E$6</f>
        <v>0</v>
      </c>
      <c r="V71" s="989">
        <f>($T22*$C71)+($U22*$C71)+($V22*$C71)/$E$6</f>
        <v>0</v>
      </c>
      <c r="W71" s="989">
        <f>($T22*$C71)+($U22*$C71)+($V22*$C71)+($W22*$C71)/$E$6</f>
        <v>0</v>
      </c>
      <c r="X71" s="989">
        <f>($T22*$C71)+($U22*$C71)+($V22*$C71)+($W22*$C71)+($X22*$C71)/$E$6</f>
        <v>0</v>
      </c>
      <c r="Y71" s="990">
        <f>($T22*$C71)+($U22*$C71)+($V22*$C71)+($W22*$C71)+($X22*$C71)+($Y22*$C71)/$E$6</f>
        <v>0</v>
      </c>
      <c r="Z71" s="930">
        <f>'11.2. Нови активи отч.год.'!Z72</f>
        <v>0</v>
      </c>
      <c r="AA71" s="991">
        <f>($AA22*$C71)/$E$6</f>
        <v>0</v>
      </c>
      <c r="AB71" s="989">
        <f>($AA22*$C71)+($AB22*$C71)/$E$6</f>
        <v>0</v>
      </c>
      <c r="AC71" s="989">
        <f>($AA22*$C71)+($AB22*$C71)+($AC22*$C71)/$E$6</f>
        <v>0</v>
      </c>
      <c r="AD71" s="989">
        <f>($AA22*$C71)+($AB22*$C71)+($AC22*$C71)+($AD22*$C71)/$E$6</f>
        <v>0</v>
      </c>
      <c r="AE71" s="989">
        <f>($AA22*$C71)+($AB22*$C71)+($AC22*$C71)+($AD22*$C71)+($AE22*$C71)/$E$6</f>
        <v>0</v>
      </c>
      <c r="AF71" s="992">
        <f>($AA22*$C71)+($AB22*$C71)+($AC22*$C71)+($AD22*$C71)+($AE22*$C71)+($AF22*$C71)/$E$6</f>
        <v>0</v>
      </c>
      <c r="AG71" s="616"/>
      <c r="AH71" s="617"/>
    </row>
    <row r="72" spans="1:34" s="618" customFormat="1">
      <c r="A72" s="952"/>
      <c r="B72" s="952">
        <v>2030402</v>
      </c>
      <c r="C72" s="953">
        <v>0.1</v>
      </c>
      <c r="D72" s="272" t="s">
        <v>601</v>
      </c>
      <c r="E72" s="930">
        <f>'11.2. Нови активи отч.год.'!E73</f>
        <v>0</v>
      </c>
      <c r="F72" s="988">
        <f>($F23*$C72)/$E$6</f>
        <v>0</v>
      </c>
      <c r="G72" s="989">
        <f>($F23*$C72)+($G23*$C72)/$E$6</f>
        <v>0</v>
      </c>
      <c r="H72" s="989">
        <f>($F23*$C72)+($G23*$C72)+($H23*$C72)/$E$6</f>
        <v>0</v>
      </c>
      <c r="I72" s="989">
        <f>($F23*$C72)+($G23*$C72)+($H23*$C72)+($I23*$C72)/$E$6</f>
        <v>0</v>
      </c>
      <c r="J72" s="989">
        <f>($F23*$C72)+($G23*$C72)+($H23*$C72)+($I23*$C72)+($J23*$C72)/$E$6</f>
        <v>0</v>
      </c>
      <c r="K72" s="990">
        <f>($F23*$C72)+($G23*$C72)+($H23*$C72)+($I23*$C72)+($J23*$C72)+($K23*$C72)/$E$6</f>
        <v>0</v>
      </c>
      <c r="L72" s="930">
        <f>'11.2. Нови активи отч.год.'!L73</f>
        <v>0</v>
      </c>
      <c r="M72" s="991">
        <f>($M23*$C72)/$E$6</f>
        <v>0</v>
      </c>
      <c r="N72" s="989">
        <f>($M23*$C72)+($N23*$C72)/$E$6</f>
        <v>0</v>
      </c>
      <c r="O72" s="989">
        <f>($M23*$C72)+($N23*$C72)+($O23*$C72)/$E$6</f>
        <v>0</v>
      </c>
      <c r="P72" s="989">
        <f>($M23*$C72)+($N23*$C72)+($O23*$C72)+($P23*$C72)/$E$6</f>
        <v>0</v>
      </c>
      <c r="Q72" s="990">
        <f>($M23*$C72)+($N23*$C72)+($O23*$C72)+($P23*$C72)+($Q23*$C72)/$E$6</f>
        <v>0</v>
      </c>
      <c r="R72" s="992">
        <f>($M23*$C72)+($N23*$C72)+($O23*$C72)+($P23*$C72)+($Q23*$C72)+($R23*$C72)/$E$6</f>
        <v>0</v>
      </c>
      <c r="S72" s="1652">
        <f>'11.2. Нови активи отч.год.'!S73</f>
        <v>0</v>
      </c>
      <c r="T72" s="2795">
        <f>($T23*$C72)/$E$6</f>
        <v>0</v>
      </c>
      <c r="U72" s="989">
        <f>($T23*$C72)+($U23*$C72)/$E$6</f>
        <v>0</v>
      </c>
      <c r="V72" s="989">
        <f>($T23*$C72)+($U23*$C72)+($V23*$C72)/$E$6</f>
        <v>0</v>
      </c>
      <c r="W72" s="989">
        <f>($T23*$C72)+($U23*$C72)+($V23*$C72)+($W23*$C72)/$E$6</f>
        <v>0</v>
      </c>
      <c r="X72" s="989">
        <f>($T23*$C72)+($U23*$C72)+($V23*$C72)+($W23*$C72)+($X23*$C72)/$E$6</f>
        <v>0</v>
      </c>
      <c r="Y72" s="990">
        <f>($T23*$C72)+($U23*$C72)+($V23*$C72)+($W23*$C72)+($X23*$C72)+($Y23*$C72)/$E$6</f>
        <v>0</v>
      </c>
      <c r="Z72" s="930">
        <f>'11.2. Нови активи отч.год.'!Z73</f>
        <v>0</v>
      </c>
      <c r="AA72" s="991">
        <f>($AA23*$C72)/$E$6</f>
        <v>0</v>
      </c>
      <c r="AB72" s="989">
        <f>($AA23*$C72)+($AB23*$C72)/$E$6</f>
        <v>0</v>
      </c>
      <c r="AC72" s="989">
        <f>($AA23*$C72)+($AB23*$C72)+($AC23*$C72)/$E$6</f>
        <v>0</v>
      </c>
      <c r="AD72" s="989">
        <f>($AA23*$C72)+($AB23*$C72)+($AC23*$C72)+($AD23*$C72)/$E$6</f>
        <v>0</v>
      </c>
      <c r="AE72" s="989">
        <f>($AA23*$C72)+($AB23*$C72)+($AC23*$C72)+($AD23*$C72)+($AE23*$C72)/$E$6</f>
        <v>0</v>
      </c>
      <c r="AF72" s="992">
        <f>($AA23*$C72)+($AB23*$C72)+($AC23*$C72)+($AD23*$C72)+($AE23*$C72)+($AF23*$C72)/$E$6</f>
        <v>0</v>
      </c>
      <c r="AG72" s="616"/>
      <c r="AH72" s="617"/>
    </row>
    <row r="73" spans="1:34">
      <c r="A73" s="277"/>
      <c r="B73" s="277">
        <v>20305</v>
      </c>
      <c r="C73" s="281"/>
      <c r="D73" s="275" t="s">
        <v>602</v>
      </c>
      <c r="E73" s="946">
        <f>SUM(E74:E76)</f>
        <v>0</v>
      </c>
      <c r="F73" s="947">
        <f t="shared" ref="F73:AF73" si="17">SUM(F74:F76)</f>
        <v>1</v>
      </c>
      <c r="G73" s="948">
        <f t="shared" si="17"/>
        <v>12.05</v>
      </c>
      <c r="H73" s="948">
        <f t="shared" si="17"/>
        <v>28.6</v>
      </c>
      <c r="I73" s="948">
        <f t="shared" si="17"/>
        <v>48.75</v>
      </c>
      <c r="J73" s="948">
        <f t="shared" si="17"/>
        <v>81.650000000000006</v>
      </c>
      <c r="K73" s="987">
        <f t="shared" si="17"/>
        <v>120.4</v>
      </c>
      <c r="L73" s="950">
        <f t="shared" si="17"/>
        <v>0</v>
      </c>
      <c r="M73" s="947">
        <f t="shared" si="17"/>
        <v>2.0500000000000003</v>
      </c>
      <c r="N73" s="948">
        <f t="shared" si="17"/>
        <v>4.1000000000000005</v>
      </c>
      <c r="O73" s="948">
        <f t="shared" si="17"/>
        <v>4.1000000000000005</v>
      </c>
      <c r="P73" s="948">
        <f t="shared" si="17"/>
        <v>6.6000000000000005</v>
      </c>
      <c r="Q73" s="948">
        <f t="shared" si="17"/>
        <v>9.8500000000000014</v>
      </c>
      <c r="R73" s="949">
        <f t="shared" si="17"/>
        <v>11.350000000000001</v>
      </c>
      <c r="S73" s="950">
        <f t="shared" si="17"/>
        <v>0</v>
      </c>
      <c r="T73" s="951">
        <f t="shared" si="17"/>
        <v>1.5</v>
      </c>
      <c r="U73" s="948">
        <f t="shared" si="17"/>
        <v>3</v>
      </c>
      <c r="V73" s="948">
        <f t="shared" si="17"/>
        <v>3</v>
      </c>
      <c r="W73" s="948">
        <f t="shared" si="17"/>
        <v>3</v>
      </c>
      <c r="X73" s="948">
        <f t="shared" si="17"/>
        <v>3</v>
      </c>
      <c r="Y73" s="949">
        <f t="shared" si="17"/>
        <v>3</v>
      </c>
      <c r="Z73" s="950">
        <f t="shared" si="17"/>
        <v>0</v>
      </c>
      <c r="AA73" s="951">
        <f t="shared" si="17"/>
        <v>0</v>
      </c>
      <c r="AB73" s="948">
        <f t="shared" si="17"/>
        <v>0.75</v>
      </c>
      <c r="AC73" s="948">
        <f t="shared" si="17"/>
        <v>15.450000000000001</v>
      </c>
      <c r="AD73" s="948">
        <f t="shared" si="17"/>
        <v>41.550000000000004</v>
      </c>
      <c r="AE73" s="948">
        <f t="shared" si="17"/>
        <v>70.25</v>
      </c>
      <c r="AF73" s="949">
        <f t="shared" si="17"/>
        <v>103.35000000000001</v>
      </c>
      <c r="AG73" s="306"/>
      <c r="AH73" s="564"/>
    </row>
    <row r="74" spans="1:34" s="618" customFormat="1">
      <c r="A74" s="952"/>
      <c r="B74" s="952">
        <v>2030501</v>
      </c>
      <c r="C74" s="954">
        <v>0.1</v>
      </c>
      <c r="D74" s="272" t="s">
        <v>1391</v>
      </c>
      <c r="E74" s="930">
        <f>'11.2. Нови активи отч.год.'!E75</f>
        <v>0</v>
      </c>
      <c r="F74" s="988">
        <f>($F25*$C74)/$E$6</f>
        <v>0.95000000000000007</v>
      </c>
      <c r="G74" s="989">
        <f>($F25*$C74)+($G25*$C74)/$E$6</f>
        <v>7.3500000000000005</v>
      </c>
      <c r="H74" s="989">
        <f>($F25*$C74)+($G25*$C74)+($H25*$C74)/$E$6</f>
        <v>19.3</v>
      </c>
      <c r="I74" s="989">
        <f>($F25*$C74)+($G25*$C74)+($H25*$C74)+($I25*$C74)/$E$6</f>
        <v>33.299999999999997</v>
      </c>
      <c r="J74" s="989">
        <f>($F25*$C74)+($G25*$C74)+($H25*$C74)+($I25*$C74)+($J25*$C74)/$E$6</f>
        <v>54.05</v>
      </c>
      <c r="K74" s="990">
        <f>($F25*$C74)+($G25*$C74)+($H25*$C74)+($I25*$C74)+($J25*$C74)+($K25*$C74)/$E$6</f>
        <v>80.55</v>
      </c>
      <c r="L74" s="930">
        <f>'11.2. Нови активи отч.год.'!L75</f>
        <v>0</v>
      </c>
      <c r="M74" s="991">
        <f>($M25*$C74)/$E$6</f>
        <v>0</v>
      </c>
      <c r="N74" s="989">
        <f>($M25*$C74)+($N25*$C74)/$E$6</f>
        <v>0</v>
      </c>
      <c r="O74" s="989">
        <f>($M25*$C74)+($N25*$C74)+($O25*$C74)/$E$6</f>
        <v>0</v>
      </c>
      <c r="P74" s="989">
        <f>($M25*$C74)+($N25*$C74)+($O25*$C74)+($P25*$C74)/$E$6</f>
        <v>0</v>
      </c>
      <c r="Q74" s="990">
        <f>($M25*$C74)+($N25*$C74)+($O25*$C74)+($P25*$C74)+($Q25*$C74)/$E$6</f>
        <v>0</v>
      </c>
      <c r="R74" s="992">
        <f>($M25*$C74)+($N25*$C74)+($O25*$C74)+($P25*$C74)+($Q25*$C74)+($R25*$C74)/$E$6</f>
        <v>0</v>
      </c>
      <c r="S74" s="1652">
        <f>'11.2. Нови активи отч.год.'!S75</f>
        <v>0</v>
      </c>
      <c r="T74" s="2795">
        <f>($T25*$C74)/$E$6</f>
        <v>0</v>
      </c>
      <c r="U74" s="989">
        <f>($T25*$C74)+($U25*$C74)/$E$6</f>
        <v>0</v>
      </c>
      <c r="V74" s="989">
        <f>($T25*$C74)+($U25*$C74)+($V25*$C74)/$E$6</f>
        <v>0</v>
      </c>
      <c r="W74" s="989">
        <f>($T25*$C74)+($U25*$C74)+($V25*$C74)+($W25*$C74)/$E$6</f>
        <v>0</v>
      </c>
      <c r="X74" s="989">
        <f>($T25*$C74)+($U25*$C74)+($V25*$C74)+($W25*$C74)+($X25*$C74)/$E$6</f>
        <v>0</v>
      </c>
      <c r="Y74" s="990">
        <f>($T25*$C74)+($U25*$C74)+($V25*$C74)+($W25*$C74)+($X25*$C74)+($Y25*$C74)/$E$6</f>
        <v>0</v>
      </c>
      <c r="Z74" s="930">
        <f>'11.2. Нови активи отч.год.'!Z75</f>
        <v>0</v>
      </c>
      <c r="AA74" s="991">
        <f>($AA25*$C74)/$E$6</f>
        <v>0</v>
      </c>
      <c r="AB74" s="989">
        <f>($AA25*$C74)+($AB25*$C74)/$E$6</f>
        <v>0.75</v>
      </c>
      <c r="AC74" s="989">
        <f>($AA25*$C74)+($AB25*$C74)+($AC25*$C74)/$E$6</f>
        <v>15.450000000000001</v>
      </c>
      <c r="AD74" s="989">
        <f>($AA25*$C74)+($AB25*$C74)+($AC25*$C74)+($AD25*$C74)/$E$6</f>
        <v>41.550000000000004</v>
      </c>
      <c r="AE74" s="989">
        <f>($AA25*$C74)+($AB25*$C74)+($AC25*$C74)+($AD25*$C74)+($AE25*$C74)/$E$6</f>
        <v>70.25</v>
      </c>
      <c r="AF74" s="992">
        <f>($AA25*$C74)+($AB25*$C74)+($AC25*$C74)+($AD25*$C74)+($AE25*$C74)+($AF25*$C74)/$E$6</f>
        <v>103.35000000000001</v>
      </c>
      <c r="AG74" s="616"/>
      <c r="AH74" s="617"/>
    </row>
    <row r="75" spans="1:34" s="618" customFormat="1" ht="24">
      <c r="A75" s="952"/>
      <c r="B75" s="952">
        <v>2030502</v>
      </c>
      <c r="C75" s="954">
        <v>0.1</v>
      </c>
      <c r="D75" s="272" t="s">
        <v>948</v>
      </c>
      <c r="E75" s="930">
        <f>'11.2. Нови активи отч.год.'!E76</f>
        <v>0</v>
      </c>
      <c r="F75" s="988">
        <f>($F26*$C75)/$E$6</f>
        <v>0</v>
      </c>
      <c r="G75" s="989">
        <f>($F26*$C75)+($G26*$C75)/$E$6</f>
        <v>4.6000000000000005</v>
      </c>
      <c r="H75" s="989">
        <f>($F26*$C75)+($G26*$C75)+($H26*$C75)/$E$6</f>
        <v>9.2000000000000011</v>
      </c>
      <c r="I75" s="989">
        <f>($F26*$C75)+($G26*$C75)+($H26*$C75)+($I26*$C75)/$E$6</f>
        <v>12.950000000000001</v>
      </c>
      <c r="J75" s="989">
        <f>($F26*$C75)+($G26*$C75)+($H26*$C75)+($I26*$C75)+($J26*$C75)/$E$6</f>
        <v>20.200000000000003</v>
      </c>
      <c r="K75" s="990">
        <f>($F26*$C75)+($G26*$C75)+($H26*$C75)+($I26*$C75)+($J26*$C75)+($K26*$C75)/$E$6</f>
        <v>27.200000000000003</v>
      </c>
      <c r="L75" s="930">
        <f>'11.2. Нови активи отч.год.'!L76</f>
        <v>0</v>
      </c>
      <c r="M75" s="991">
        <f>($M26*$C75)/$E$6</f>
        <v>0</v>
      </c>
      <c r="N75" s="989">
        <f>($M26*$C75)+($N26*$C75)/$E$6</f>
        <v>0</v>
      </c>
      <c r="O75" s="989">
        <f>($M26*$C75)+($N26*$C75)+($O26*$C75)/$E$6</f>
        <v>0</v>
      </c>
      <c r="P75" s="989">
        <f>($M26*$C75)+($N26*$C75)+($O26*$C75)+($P26*$C75)/$E$6</f>
        <v>0</v>
      </c>
      <c r="Q75" s="990">
        <f>($M26*$C75)+($N26*$C75)+($O26*$C75)+($P26*$C75)+($Q26*$C75)/$E$6</f>
        <v>0</v>
      </c>
      <c r="R75" s="992">
        <f>($M26*$C75)+($N26*$C75)+($O26*$C75)+($P26*$C75)+($Q26*$C75)+($R26*$C75)/$E$6</f>
        <v>0</v>
      </c>
      <c r="S75" s="1652">
        <f>'11.2. Нови активи отч.год.'!S76</f>
        <v>0</v>
      </c>
      <c r="T75" s="2795">
        <f>($T26*$C75)/$E$6</f>
        <v>0</v>
      </c>
      <c r="U75" s="989">
        <f>($T26*$C75)+($U26*$C75)/$E$6</f>
        <v>0</v>
      </c>
      <c r="V75" s="989">
        <f>($T26*$C75)+($U26*$C75)+($V26*$C75)/$E$6</f>
        <v>0</v>
      </c>
      <c r="W75" s="989">
        <f>($T26*$C75)+($U26*$C75)+($V26*$C75)+($W26*$C75)/$E$6</f>
        <v>0</v>
      </c>
      <c r="X75" s="989">
        <f>($T26*$C75)+($U26*$C75)+($V26*$C75)+($W26*$C75)+($X26*$C75)/$E$6</f>
        <v>0</v>
      </c>
      <c r="Y75" s="990">
        <f>($T26*$C75)+($U26*$C75)+($V26*$C75)+($W26*$C75)+($X26*$C75)+($Y26*$C75)/$E$6</f>
        <v>0</v>
      </c>
      <c r="Z75" s="930">
        <f>'11.2. Нови активи отч.год.'!Z76</f>
        <v>0</v>
      </c>
      <c r="AA75" s="991">
        <f>($AA26*$C75)/$E$6</f>
        <v>0</v>
      </c>
      <c r="AB75" s="989">
        <f>($AA26*$C75)+($AB26*$C75)/$E$6</f>
        <v>0</v>
      </c>
      <c r="AC75" s="989">
        <f>($AA26*$C75)+($AB26*$C75)+($AC26*$C75)/$E$6</f>
        <v>0</v>
      </c>
      <c r="AD75" s="989">
        <f>($AA26*$C75)+($AB26*$C75)+($AC26*$C75)+($AD26*$C75)/$E$6</f>
        <v>0</v>
      </c>
      <c r="AE75" s="989">
        <f>($AA26*$C75)+($AB26*$C75)+($AC26*$C75)+($AD26*$C75)+($AE26*$C75)/$E$6</f>
        <v>0</v>
      </c>
      <c r="AF75" s="992">
        <f>($AA26*$C75)+($AB26*$C75)+($AC26*$C75)+($AD26*$C75)+($AE26*$C75)+($AF26*$C75)/$E$6</f>
        <v>0</v>
      </c>
      <c r="AG75" s="616"/>
      <c r="AH75" s="617"/>
    </row>
    <row r="76" spans="1:34" s="618" customFormat="1">
      <c r="A76" s="952"/>
      <c r="B76" s="952">
        <v>2030503</v>
      </c>
      <c r="C76" s="954">
        <v>0.1</v>
      </c>
      <c r="D76" s="272" t="s">
        <v>966</v>
      </c>
      <c r="E76" s="930">
        <f>'11.2. Нови активи отч.год.'!E77</f>
        <v>0</v>
      </c>
      <c r="F76" s="988">
        <f>($F27*$C76)/$E$6</f>
        <v>0.05</v>
      </c>
      <c r="G76" s="989">
        <f>($F27*$C76)+($G27*$C76)/$E$6</f>
        <v>0.1</v>
      </c>
      <c r="H76" s="989">
        <f>($F27*$C76)+($G27*$C76)+($H27*$C76)/$E$6</f>
        <v>0.1</v>
      </c>
      <c r="I76" s="989">
        <f>($F27*$C76)+($G27*$C76)+($H27*$C76)+($I27*$C76)/$E$6</f>
        <v>2.5000000000000004</v>
      </c>
      <c r="J76" s="989">
        <f>($F27*$C76)+($G27*$C76)+($H27*$C76)+($I27*$C76)+($J27*$C76)/$E$6</f>
        <v>7.4</v>
      </c>
      <c r="K76" s="990">
        <f>($F27*$C76)+($G27*$C76)+($H27*$C76)+($I27*$C76)+($J27*$C76)+($K27*$C76)/$E$6</f>
        <v>12.65</v>
      </c>
      <c r="L76" s="930">
        <f>'11.2. Нови активи отч.год.'!L77</f>
        <v>0</v>
      </c>
      <c r="M76" s="991">
        <f>($M27*$C76)/$E$6</f>
        <v>2.0500000000000003</v>
      </c>
      <c r="N76" s="989">
        <f>($M27*$C76)+($N27*$C76)/$E$6</f>
        <v>4.1000000000000005</v>
      </c>
      <c r="O76" s="989">
        <f>($M27*$C76)+($N27*$C76)+($O27*$C76)/$E$6</f>
        <v>4.1000000000000005</v>
      </c>
      <c r="P76" s="989">
        <f>($M27*$C76)+($N27*$C76)+($O27*$C76)+($P27*$C76)/$E$6</f>
        <v>6.6000000000000005</v>
      </c>
      <c r="Q76" s="990">
        <f>($M27*$C76)+($N27*$C76)+($O27*$C76)+($P27*$C76)+($Q27*$C76)/$E$6</f>
        <v>9.8500000000000014</v>
      </c>
      <c r="R76" s="992">
        <f>($M27*$C76)+($N27*$C76)+($O27*$C76)+($P27*$C76)+($Q27*$C76)+($R27*$C76)/$E$6</f>
        <v>11.350000000000001</v>
      </c>
      <c r="S76" s="1652">
        <f>'11.2. Нови активи отч.год.'!S77</f>
        <v>0</v>
      </c>
      <c r="T76" s="2795">
        <f>($T27*$C76)/$E$6</f>
        <v>1.5</v>
      </c>
      <c r="U76" s="989">
        <f>($T27*$C76)+($U27*$C76)/$E$6</f>
        <v>3</v>
      </c>
      <c r="V76" s="989">
        <f>($T27*$C76)+($U27*$C76)+($V27*$C76)/$E$6</f>
        <v>3</v>
      </c>
      <c r="W76" s="989">
        <f>($T27*$C76)+($U27*$C76)+($V27*$C76)+($W27*$C76)/$E$6</f>
        <v>3</v>
      </c>
      <c r="X76" s="989">
        <f>($T27*$C76)+($U27*$C76)+($V27*$C76)+($W27*$C76)+($X27*$C76)/$E$6</f>
        <v>3</v>
      </c>
      <c r="Y76" s="990">
        <f>($T27*$C76)+($U27*$C76)+($V27*$C76)+($W27*$C76)+($X27*$C76)+($Y27*$C76)/$E$6</f>
        <v>3</v>
      </c>
      <c r="Z76" s="930">
        <f>'11.2. Нови активи отч.год.'!Z77</f>
        <v>0</v>
      </c>
      <c r="AA76" s="991">
        <f>($AA27*$C76)/$E$6</f>
        <v>0</v>
      </c>
      <c r="AB76" s="989">
        <f>($AA27*$C76)+($AB27*$C76)/$E$6</f>
        <v>0</v>
      </c>
      <c r="AC76" s="989">
        <f>($AA27*$C76)+($AB27*$C76)+($AC27*$C76)/$E$6</f>
        <v>0</v>
      </c>
      <c r="AD76" s="989">
        <f>($AA27*$C76)+($AB27*$C76)+($AC27*$C76)+($AD27*$C76)/$E$6</f>
        <v>0</v>
      </c>
      <c r="AE76" s="989">
        <f>($AA27*$C76)+($AB27*$C76)+($AC27*$C76)+($AD27*$C76)+($AE27*$C76)/$E$6</f>
        <v>0</v>
      </c>
      <c r="AF76" s="992">
        <f>($AA27*$C76)+($AB27*$C76)+($AC27*$C76)+($AD27*$C76)+($AE27*$C76)+($AF27*$C76)/$E$6</f>
        <v>0</v>
      </c>
      <c r="AG76" s="616"/>
      <c r="AH76" s="617"/>
    </row>
    <row r="77" spans="1:34">
      <c r="A77" s="277"/>
      <c r="B77" s="277">
        <v>20306</v>
      </c>
      <c r="C77" s="1553">
        <v>0.1</v>
      </c>
      <c r="D77" s="1546" t="s">
        <v>581</v>
      </c>
      <c r="E77" s="930">
        <f>'11.2. Нови активи отч.год.'!E78</f>
        <v>5</v>
      </c>
      <c r="F77" s="898">
        <f>($F28*$C77)/$E$6</f>
        <v>3.1500000000000004</v>
      </c>
      <c r="G77" s="887">
        <f>($F28*$C77)+($G28*$C77)/$E$6</f>
        <v>6.3000000000000007</v>
      </c>
      <c r="H77" s="887">
        <f>($F28*$C77)+($G28*$C77)+($H28*$C77)/$E$6</f>
        <v>6.3000000000000007</v>
      </c>
      <c r="I77" s="887">
        <f>($F28*$C77)+($G28*$C77)+($H28*$C77)+($I28*$C77)/$E$6</f>
        <v>8.3000000000000007</v>
      </c>
      <c r="J77" s="887">
        <f>($F28*$C77)+($G28*$C77)+($H28*$C77)+($I28*$C77)+($J28*$C77)/$E$6</f>
        <v>12.05</v>
      </c>
      <c r="K77" s="986">
        <f>($F28*$C77)+($G28*$C77)+($H28*$C77)+($I28*$C77)+($J28*$C77)+($K28*$C77)/$E$6</f>
        <v>15.55</v>
      </c>
      <c r="L77" s="930">
        <f>'11.2. Нови активи отч.год.'!L78</f>
        <v>0</v>
      </c>
      <c r="M77" s="886">
        <f>($M28*$C77)/$E$6</f>
        <v>2.85</v>
      </c>
      <c r="N77" s="887">
        <f>($M28*$C77)+($N28*$C77)/$E$6</f>
        <v>5.7</v>
      </c>
      <c r="O77" s="887">
        <f>($M28*$C77)+($N28*$C77)+($O28*$C77)/$E$6</f>
        <v>5.7</v>
      </c>
      <c r="P77" s="887">
        <f>($M28*$C77)+($N28*$C77)+($O28*$C77)+($P28*$C77)/$E$6</f>
        <v>5.9</v>
      </c>
      <c r="Q77" s="986">
        <f>($M28*$C77)+($N28*$C77)+($O28*$C77)+($P28*$C77)+($Q28*$C77)/$E$6</f>
        <v>6.3000000000000007</v>
      </c>
      <c r="R77" s="888">
        <f>($M28*$C77)+($N28*$C77)+($O28*$C77)+($P28*$C77)+($Q28*$C77)+($R28*$C77)/$E$6</f>
        <v>6.7000000000000011</v>
      </c>
      <c r="S77" s="1652">
        <f>'11.2. Нови активи отч.год.'!S78</f>
        <v>0</v>
      </c>
      <c r="T77" s="933">
        <f>($T28*$C77)/$E$6</f>
        <v>0.8</v>
      </c>
      <c r="U77" s="887">
        <f>($T28*$C77)+($U28*$C77)/$E$6</f>
        <v>2.3000000000000003</v>
      </c>
      <c r="V77" s="887">
        <f>($T28*$C77)+($U28*$C77)+($V28*$C77)/$E$6</f>
        <v>5</v>
      </c>
      <c r="W77" s="887">
        <f>($T28*$C77)+($U28*$C77)+($V28*$C77)+($W28*$C77)/$E$6</f>
        <v>8.75</v>
      </c>
      <c r="X77" s="887">
        <f>($T28*$C77)+($U28*$C77)+($V28*$C77)+($W28*$C77)+($X28*$C77)/$E$6</f>
        <v>12.25</v>
      </c>
      <c r="Y77" s="986">
        <f>($T28*$C77)+($U28*$C77)+($V28*$C77)+($W28*$C77)+($X28*$C77)+($Y28*$C77)/$E$6</f>
        <v>15.75</v>
      </c>
      <c r="Z77" s="1652">
        <f>'11.2. Нови активи отч.год.'!Z78</f>
        <v>0</v>
      </c>
      <c r="AA77" s="886">
        <f>($AA28*$C77)/$E$6</f>
        <v>0</v>
      </c>
      <c r="AB77" s="887">
        <f>($AA28*$C77)+($AB28*$C77)/$E$6</f>
        <v>0</v>
      </c>
      <c r="AC77" s="887">
        <f>($AA28*$C77)+($AB28*$C77)+($AC28*$C77)/$E$6</f>
        <v>0</v>
      </c>
      <c r="AD77" s="887">
        <f>($AA28*$C77)+($AB28*$C77)+($AC28*$C77)+($AD28*$C77)/$E$6</f>
        <v>0</v>
      </c>
      <c r="AE77" s="887">
        <f>($AA28*$C77)+($AB28*$C77)+($AC28*$C77)+($AD28*$C77)+($AE28*$C77)/$E$6</f>
        <v>0</v>
      </c>
      <c r="AF77" s="888">
        <f>($AA28*$C77)+($AB28*$C77)+($AC28*$C77)+($AD28*$C77)+($AE28*$C77)+($AF28*$C77)/$E$6</f>
        <v>0</v>
      </c>
      <c r="AG77" s="306"/>
      <c r="AH77" s="564"/>
    </row>
    <row r="78" spans="1:34" ht="14.25" customHeight="1">
      <c r="A78" s="939">
        <v>4</v>
      </c>
      <c r="B78" s="939">
        <v>204</v>
      </c>
      <c r="C78" s="1729"/>
      <c r="D78" s="1736" t="s">
        <v>274</v>
      </c>
      <c r="E78" s="985">
        <f>E79+E82+E91+E92</f>
        <v>0</v>
      </c>
      <c r="F78" s="979">
        <f t="shared" ref="F78:AF78" si="18">F79+F82+F91+F92</f>
        <v>27.560000000000002</v>
      </c>
      <c r="G78" s="980">
        <f t="shared" si="18"/>
        <v>69.919999999999987</v>
      </c>
      <c r="H78" s="980">
        <f t="shared" si="18"/>
        <v>100.17000000000002</v>
      </c>
      <c r="I78" s="980">
        <f t="shared" si="18"/>
        <v>132.94</v>
      </c>
      <c r="J78" s="980">
        <f t="shared" si="18"/>
        <v>169.15</v>
      </c>
      <c r="K78" s="981">
        <f t="shared" si="18"/>
        <v>204.88</v>
      </c>
      <c r="L78" s="982">
        <f t="shared" si="18"/>
        <v>0</v>
      </c>
      <c r="M78" s="979">
        <f t="shared" si="18"/>
        <v>0.84</v>
      </c>
      <c r="N78" s="980">
        <f t="shared" si="18"/>
        <v>1.68</v>
      </c>
      <c r="O78" s="980">
        <f t="shared" si="18"/>
        <v>3.23</v>
      </c>
      <c r="P78" s="980">
        <f t="shared" si="18"/>
        <v>9.8800000000000008</v>
      </c>
      <c r="Q78" s="980">
        <f t="shared" si="18"/>
        <v>22.73</v>
      </c>
      <c r="R78" s="983">
        <f t="shared" si="18"/>
        <v>38.230000000000004</v>
      </c>
      <c r="S78" s="982">
        <f t="shared" si="18"/>
        <v>0</v>
      </c>
      <c r="T78" s="984">
        <f t="shared" si="18"/>
        <v>2.4</v>
      </c>
      <c r="U78" s="980">
        <f t="shared" si="18"/>
        <v>5.4799999999999995</v>
      </c>
      <c r="V78" s="980">
        <f t="shared" si="18"/>
        <v>8.52</v>
      </c>
      <c r="W78" s="980">
        <f t="shared" si="18"/>
        <v>12.28</v>
      </c>
      <c r="X78" s="980">
        <f t="shared" si="18"/>
        <v>14.379999999999999</v>
      </c>
      <c r="Y78" s="983">
        <f t="shared" si="18"/>
        <v>15.48</v>
      </c>
      <c r="Z78" s="982">
        <f t="shared" si="18"/>
        <v>0</v>
      </c>
      <c r="AA78" s="984">
        <f t="shared" si="18"/>
        <v>0</v>
      </c>
      <c r="AB78" s="980">
        <f t="shared" si="18"/>
        <v>0</v>
      </c>
      <c r="AC78" s="980">
        <f t="shared" si="18"/>
        <v>0</v>
      </c>
      <c r="AD78" s="980">
        <f t="shared" si="18"/>
        <v>0</v>
      </c>
      <c r="AE78" s="980">
        <f t="shared" si="18"/>
        <v>0</v>
      </c>
      <c r="AF78" s="983">
        <f t="shared" si="18"/>
        <v>0</v>
      </c>
      <c r="AG78" s="306"/>
      <c r="AH78" s="564"/>
    </row>
    <row r="79" spans="1:34">
      <c r="A79" s="277"/>
      <c r="B79" s="277">
        <v>20401</v>
      </c>
      <c r="C79" s="1557"/>
      <c r="D79" s="1558" t="s">
        <v>589</v>
      </c>
      <c r="E79" s="946">
        <f t="shared" ref="E79:AF79" si="19">SUM(E80:E81)</f>
        <v>0</v>
      </c>
      <c r="F79" s="947">
        <f t="shared" si="19"/>
        <v>0</v>
      </c>
      <c r="G79" s="948">
        <f t="shared" si="19"/>
        <v>0</v>
      </c>
      <c r="H79" s="948">
        <f t="shared" si="19"/>
        <v>0</v>
      </c>
      <c r="I79" s="948">
        <f t="shared" si="19"/>
        <v>0</v>
      </c>
      <c r="J79" s="948">
        <f t="shared" si="19"/>
        <v>0</v>
      </c>
      <c r="K79" s="987">
        <f t="shared" si="19"/>
        <v>0</v>
      </c>
      <c r="L79" s="950">
        <f t="shared" si="19"/>
        <v>0</v>
      </c>
      <c r="M79" s="947">
        <f t="shared" si="19"/>
        <v>0</v>
      </c>
      <c r="N79" s="948">
        <f t="shared" si="19"/>
        <v>0</v>
      </c>
      <c r="O79" s="948">
        <f t="shared" si="19"/>
        <v>0</v>
      </c>
      <c r="P79" s="948">
        <f t="shared" si="19"/>
        <v>0</v>
      </c>
      <c r="Q79" s="948">
        <f t="shared" si="19"/>
        <v>0</v>
      </c>
      <c r="R79" s="949">
        <f t="shared" si="19"/>
        <v>0</v>
      </c>
      <c r="S79" s="950">
        <f t="shared" si="19"/>
        <v>0</v>
      </c>
      <c r="T79" s="951">
        <f t="shared" si="19"/>
        <v>0</v>
      </c>
      <c r="U79" s="948">
        <f t="shared" si="19"/>
        <v>0</v>
      </c>
      <c r="V79" s="948">
        <f t="shared" si="19"/>
        <v>0</v>
      </c>
      <c r="W79" s="948">
        <f t="shared" si="19"/>
        <v>0</v>
      </c>
      <c r="X79" s="948">
        <f t="shared" si="19"/>
        <v>0</v>
      </c>
      <c r="Y79" s="949">
        <f t="shared" si="19"/>
        <v>0</v>
      </c>
      <c r="Z79" s="950">
        <f t="shared" si="19"/>
        <v>0</v>
      </c>
      <c r="AA79" s="951">
        <f t="shared" si="19"/>
        <v>0</v>
      </c>
      <c r="AB79" s="948">
        <f t="shared" si="19"/>
        <v>0</v>
      </c>
      <c r="AC79" s="948">
        <f t="shared" si="19"/>
        <v>0</v>
      </c>
      <c r="AD79" s="948">
        <f t="shared" si="19"/>
        <v>0</v>
      </c>
      <c r="AE79" s="948">
        <f t="shared" si="19"/>
        <v>0</v>
      </c>
      <c r="AF79" s="949">
        <f t="shared" si="19"/>
        <v>0</v>
      </c>
      <c r="AG79" s="306"/>
      <c r="AH79" s="564"/>
    </row>
    <row r="80" spans="1:34" s="618" customFormat="1">
      <c r="A80" s="952"/>
      <c r="B80" s="952">
        <v>2040101</v>
      </c>
      <c r="C80" s="1733">
        <v>0.1</v>
      </c>
      <c r="D80" s="1737" t="s">
        <v>603</v>
      </c>
      <c r="E80" s="930">
        <f>'11.2. Нови активи отч.год.'!E81</f>
        <v>0</v>
      </c>
      <c r="F80" s="988">
        <f>($F31*$C80)/$E$6</f>
        <v>0</v>
      </c>
      <c r="G80" s="989">
        <f>($F31*$C80)+($G31*$C80)/$E$6</f>
        <v>0</v>
      </c>
      <c r="H80" s="989">
        <f>($F31*$C80)+($G31*$C80)+($H31*$C80)/$E$6</f>
        <v>0</v>
      </c>
      <c r="I80" s="989">
        <f>($F31*$C80)+($G31*$C80)+($H31*$C80)+($I31*$C80)/$E$6</f>
        <v>0</v>
      </c>
      <c r="J80" s="989">
        <f>($F31*$C80)+($G31*$C80)+($H31*$C80)+($I31*$C80)+($J31*$C80)/$E$6</f>
        <v>0</v>
      </c>
      <c r="K80" s="990">
        <f>($F31*$C80)+($G31*$C80)+($H31*$C80)+($I31*$C80)+($J31*$C80)+($K31*$C80)/$E$6</f>
        <v>0</v>
      </c>
      <c r="L80" s="930">
        <f>'11.2. Нови активи отч.год.'!L81</f>
        <v>0</v>
      </c>
      <c r="M80" s="991">
        <f>($M31*$C80)/$E$6</f>
        <v>0</v>
      </c>
      <c r="N80" s="989">
        <f>($M31*$C80)+($N31*$C80)/$E$6</f>
        <v>0</v>
      </c>
      <c r="O80" s="989">
        <f>($M31*$C80)+($N31*$C80)+($O31*$C80)/$E$6</f>
        <v>0</v>
      </c>
      <c r="P80" s="989">
        <f>($M31*$C80)+($N31*$C80)+($O31*$C80)+($P31*$C80)/$E$6</f>
        <v>0</v>
      </c>
      <c r="Q80" s="990">
        <f>($M31*$C80)+($N31*$C80)+($O31*$C80)+($P31*$C80)+($Q31*$C80)/$E$6</f>
        <v>0</v>
      </c>
      <c r="R80" s="992">
        <f>($M31*$C80)+($N31*$C80)+($O31*$C80)+($P31*$C80)+($Q31*$C80)+($R31*$C80)/$E$6</f>
        <v>0</v>
      </c>
      <c r="S80" s="1652">
        <f>'11.2. Нови активи отч.год.'!S81</f>
        <v>0</v>
      </c>
      <c r="T80" s="2795">
        <f>($T31*$C80)/$E$6</f>
        <v>0</v>
      </c>
      <c r="U80" s="989">
        <f>($T31*$C80)+($U31*$C80)/$E$6</f>
        <v>0</v>
      </c>
      <c r="V80" s="989">
        <f>($T31*$C80)+($U31*$C80)+($V31*$C80)/$E$6</f>
        <v>0</v>
      </c>
      <c r="W80" s="989">
        <f>($T31*$C80)+($U31*$C80)+($V31*$C80)+($W31*$C80)/$E$6</f>
        <v>0</v>
      </c>
      <c r="X80" s="989">
        <f>($T31*$C80)+($U31*$C80)+($V31*$C80)+($W31*$C80)+($X31*$C80)/$E$6</f>
        <v>0</v>
      </c>
      <c r="Y80" s="990">
        <f>($T31*$C80)+($U31*$C80)+($V31*$C80)+($W31*$C80)+($X31*$C80)+($Y31*$C80)/$E$6</f>
        <v>0</v>
      </c>
      <c r="Z80" s="1652">
        <f>'11.2. Нови активи отч.год.'!Z81</f>
        <v>0</v>
      </c>
      <c r="AA80" s="991">
        <f>($AA31*$C80)/$E$6</f>
        <v>0</v>
      </c>
      <c r="AB80" s="989">
        <f>($AA31*$C80)+($AB31*$C80)/$E$6</f>
        <v>0</v>
      </c>
      <c r="AC80" s="989">
        <f>($AA31*$C80)+($AB31*$C80)+($AC31*$C80)/$E$6</f>
        <v>0</v>
      </c>
      <c r="AD80" s="989">
        <f>($AA31*$C80)+($AB31*$C80)+($AC31*$C80)+($AD31*$C80)/$E$6</f>
        <v>0</v>
      </c>
      <c r="AE80" s="989">
        <f>($AA31*$C80)+($AB31*$C80)+($AC31*$C80)+($AD31*$C80)+($AE31*$C80)/$E$6</f>
        <v>0</v>
      </c>
      <c r="AF80" s="992">
        <f>($AA31*$C80)+($AB31*$C80)+($AC31*$C80)+($AD31*$C80)+($AE31*$C80)+($AF31*$C80)/$E$6</f>
        <v>0</v>
      </c>
      <c r="AG80" s="616"/>
      <c r="AH80" s="617"/>
    </row>
    <row r="81" spans="1:34" s="618" customFormat="1">
      <c r="A81" s="952"/>
      <c r="B81" s="952">
        <v>2040102</v>
      </c>
      <c r="C81" s="1733">
        <v>0.04</v>
      </c>
      <c r="D81" s="1737" t="s">
        <v>604</v>
      </c>
      <c r="E81" s="930">
        <f>'11.2. Нови активи отч.год.'!E82</f>
        <v>0</v>
      </c>
      <c r="F81" s="988">
        <f>($F32*$C81)/$E$6</f>
        <v>0</v>
      </c>
      <c r="G81" s="989">
        <f>($F32*$C81)+($G32*$C81)/$E$6</f>
        <v>0</v>
      </c>
      <c r="H81" s="989">
        <f>($F32*$C81)+($G32*$C81)+($H32*$C81)/$E$6</f>
        <v>0</v>
      </c>
      <c r="I81" s="989">
        <f>($F32*$C81)+($G32*$C81)+($H32*$C81)+($I32*$C81)/$E$6</f>
        <v>0</v>
      </c>
      <c r="J81" s="989">
        <f>($F32*$C81)+($G32*$C81)+($H32*$C81)+($I32*$C81)+($J32*$C81)/$E$6</f>
        <v>0</v>
      </c>
      <c r="K81" s="990">
        <f>($F32*$C81)+($G32*$C81)+($H32*$C81)+($I32*$C81)+($J32*$C81)+($K32*$C81)/$E$6</f>
        <v>0</v>
      </c>
      <c r="L81" s="930">
        <f>'11.2. Нови активи отч.год.'!L82</f>
        <v>0</v>
      </c>
      <c r="M81" s="991">
        <f>($M32*$C81)/$E$6</f>
        <v>0</v>
      </c>
      <c r="N81" s="989">
        <f>($M32*$C81)+($N32*$C81)/$E$6</f>
        <v>0</v>
      </c>
      <c r="O81" s="989">
        <f>($M32*$C81)+($N32*$C81)+($O32*$C81)/$E$6</f>
        <v>0</v>
      </c>
      <c r="P81" s="989">
        <f>($M32*$C81)+($N32*$C81)+($O32*$C81)+($P32*$C81)/$E$6</f>
        <v>0</v>
      </c>
      <c r="Q81" s="990">
        <f>($M32*$C81)+($N32*$C81)+($O32*$C81)+($P32*$C81)+($Q32*$C81)/$E$6</f>
        <v>0</v>
      </c>
      <c r="R81" s="992">
        <f>($M32*$C81)+($N32*$C81)+($O32*$C81)+($P32*$C81)+($Q32*$C81)+($R32*$C81)/$E$6</f>
        <v>0</v>
      </c>
      <c r="S81" s="1652">
        <f>'11.2. Нови активи отч.год.'!S82</f>
        <v>0</v>
      </c>
      <c r="T81" s="2795">
        <f>($T32*$C81)/$E$6</f>
        <v>0</v>
      </c>
      <c r="U81" s="989">
        <f>($T32*$C81)+($U32*$C81)/$E$6</f>
        <v>0</v>
      </c>
      <c r="V81" s="989">
        <f>($T32*$C81)+($U32*$C81)+($V32*$C81)/$E$6</f>
        <v>0</v>
      </c>
      <c r="W81" s="989">
        <f>($T32*$C81)+($U32*$C81)+($V32*$C81)+($W32*$C81)/$E$6</f>
        <v>0</v>
      </c>
      <c r="X81" s="989">
        <f>($T32*$C81)+($U32*$C81)+($V32*$C81)+($W32*$C81)+($X32*$C81)/$E$6</f>
        <v>0</v>
      </c>
      <c r="Y81" s="990">
        <f>($T32*$C81)+($U32*$C81)+($V32*$C81)+($W32*$C81)+($X32*$C81)+($Y32*$C81)/$E$6</f>
        <v>0</v>
      </c>
      <c r="Z81" s="1652">
        <f>'11.2. Нови активи отч.год.'!Z82</f>
        <v>0</v>
      </c>
      <c r="AA81" s="991">
        <f>($AA32*$C81)/$E$6</f>
        <v>0</v>
      </c>
      <c r="AB81" s="989">
        <f>($AA32*$C81)+($AB32*$C81)/$E$6</f>
        <v>0</v>
      </c>
      <c r="AC81" s="989">
        <f>($AA32*$C81)+($AB32*$C81)+($AC32*$C81)/$E$6</f>
        <v>0</v>
      </c>
      <c r="AD81" s="989">
        <f>($AA32*$C81)+($AB32*$C81)+($AC32*$C81)+($AD32*$C81)/$E$6</f>
        <v>0</v>
      </c>
      <c r="AE81" s="989">
        <f>($AA32*$C81)+($AB32*$C81)+($AC32*$C81)+($AD32*$C81)+($AE32*$C81)/$E$6</f>
        <v>0</v>
      </c>
      <c r="AF81" s="992">
        <f>($AA32*$C81)+($AB32*$C81)+($AC32*$C81)+($AD32*$C81)+($AE32*$C81)+($AF32*$C81)/$E$6</f>
        <v>0</v>
      </c>
      <c r="AG81" s="616"/>
      <c r="AH81" s="617"/>
    </row>
    <row r="82" spans="1:34">
      <c r="A82" s="277"/>
      <c r="B82" s="277">
        <v>20402</v>
      </c>
      <c r="C82" s="1557"/>
      <c r="D82" s="1558" t="s">
        <v>605</v>
      </c>
      <c r="E82" s="946">
        <f>SUM(E83:E90)</f>
        <v>0</v>
      </c>
      <c r="F82" s="947">
        <f t="shared" ref="F82:AF82" si="20">SUM(F83:F90)</f>
        <v>27.560000000000002</v>
      </c>
      <c r="G82" s="948">
        <f t="shared" si="20"/>
        <v>69.919999999999987</v>
      </c>
      <c r="H82" s="948">
        <f t="shared" si="20"/>
        <v>100.17000000000002</v>
      </c>
      <c r="I82" s="948">
        <f t="shared" si="20"/>
        <v>132.94</v>
      </c>
      <c r="J82" s="948">
        <f t="shared" si="20"/>
        <v>169.15</v>
      </c>
      <c r="K82" s="987">
        <f t="shared" si="20"/>
        <v>204.88</v>
      </c>
      <c r="L82" s="950">
        <f t="shared" si="20"/>
        <v>0</v>
      </c>
      <c r="M82" s="947">
        <f t="shared" si="20"/>
        <v>0.84</v>
      </c>
      <c r="N82" s="948">
        <f t="shared" si="20"/>
        <v>1.68</v>
      </c>
      <c r="O82" s="948">
        <f t="shared" si="20"/>
        <v>3.23</v>
      </c>
      <c r="P82" s="948">
        <f t="shared" si="20"/>
        <v>9.8800000000000008</v>
      </c>
      <c r="Q82" s="948">
        <f t="shared" si="20"/>
        <v>22.73</v>
      </c>
      <c r="R82" s="949">
        <f t="shared" si="20"/>
        <v>38.230000000000004</v>
      </c>
      <c r="S82" s="950">
        <f t="shared" si="20"/>
        <v>0</v>
      </c>
      <c r="T82" s="951">
        <f t="shared" si="20"/>
        <v>2.4</v>
      </c>
      <c r="U82" s="948">
        <f t="shared" si="20"/>
        <v>5.4799999999999995</v>
      </c>
      <c r="V82" s="948">
        <f t="shared" si="20"/>
        <v>8.52</v>
      </c>
      <c r="W82" s="948">
        <f t="shared" si="20"/>
        <v>12.28</v>
      </c>
      <c r="X82" s="948">
        <f t="shared" si="20"/>
        <v>14.379999999999999</v>
      </c>
      <c r="Y82" s="949">
        <f t="shared" si="20"/>
        <v>15.48</v>
      </c>
      <c r="Z82" s="950">
        <f t="shared" si="20"/>
        <v>0</v>
      </c>
      <c r="AA82" s="951">
        <f t="shared" si="20"/>
        <v>0</v>
      </c>
      <c r="AB82" s="948">
        <f t="shared" si="20"/>
        <v>0</v>
      </c>
      <c r="AC82" s="948">
        <f t="shared" si="20"/>
        <v>0</v>
      </c>
      <c r="AD82" s="948">
        <f t="shared" si="20"/>
        <v>0</v>
      </c>
      <c r="AE82" s="948">
        <f t="shared" si="20"/>
        <v>0</v>
      </c>
      <c r="AF82" s="949">
        <f t="shared" si="20"/>
        <v>0</v>
      </c>
      <c r="AG82" s="306"/>
      <c r="AH82" s="564"/>
    </row>
    <row r="83" spans="1:34" s="618" customFormat="1">
      <c r="A83" s="952"/>
      <c r="B83" s="952">
        <v>2040201</v>
      </c>
      <c r="C83" s="1735">
        <v>0.02</v>
      </c>
      <c r="D83" s="1734" t="s">
        <v>1007</v>
      </c>
      <c r="E83" s="930">
        <f>'11.2. Нови активи отч.год.'!E84</f>
        <v>0</v>
      </c>
      <c r="F83" s="988">
        <f t="shared" ref="F83:F90" si="21">($F34*$C83)/$E$6</f>
        <v>0</v>
      </c>
      <c r="G83" s="989">
        <f t="shared" ref="G83:G90" si="22">($F34*$C83)+($G34*$C83)/$E$6</f>
        <v>0.14000000000000001</v>
      </c>
      <c r="H83" s="989">
        <f t="shared" ref="H83:H90" si="23">($F34*$C83)+($G34*$C83)+($H34*$C83)/$E$6</f>
        <v>0.28000000000000003</v>
      </c>
      <c r="I83" s="989">
        <f t="shared" ref="I83:I90" si="24">($F34*$C83)+($G34*$C83)+($H34*$C83)+($I34*$C83)/$E$6</f>
        <v>0.28000000000000003</v>
      </c>
      <c r="J83" s="989">
        <f t="shared" ref="J83:J90" si="25">($F34*$C83)+($G34*$C83)+($H34*$C83)+($I34*$C83)+($J34*$C83)/$E$6</f>
        <v>0.28000000000000003</v>
      </c>
      <c r="K83" s="990">
        <f t="shared" ref="K83:K90" si="26">($F34*$C83)+($G34*$C83)+($H34*$C83)+($I34*$C83)+($J34*$C83)+($K34*$C83)/$E$6</f>
        <v>0.28000000000000003</v>
      </c>
      <c r="L83" s="930">
        <f>'11.2. Нови активи отч.год.'!L84</f>
        <v>0</v>
      </c>
      <c r="M83" s="991">
        <f t="shared" ref="M83:M90" si="27">($M34*$C83)/$E$6</f>
        <v>0</v>
      </c>
      <c r="N83" s="989">
        <f t="shared" ref="N83:N90" si="28">($M34*$C83)+($N34*$C83)/$E$6</f>
        <v>0</v>
      </c>
      <c r="O83" s="989">
        <f t="shared" ref="O83:O90" si="29">($M34*$C83)+($N34*$C83)+($O34*$C83)/$E$6</f>
        <v>0</v>
      </c>
      <c r="P83" s="989">
        <f t="shared" ref="P83:P90" si="30">($M34*$C83)+($N34*$C83)+($O34*$C83)+($P34*$C83)/$E$6</f>
        <v>0</v>
      </c>
      <c r="Q83" s="990">
        <f t="shared" ref="Q83:Q90" si="31">($M34*$C83)+($N34*$C83)+($O34*$C83)+($P34*$C83)+($Q34*$C83)/$E$6</f>
        <v>0</v>
      </c>
      <c r="R83" s="992">
        <f t="shared" ref="R83:R90" si="32">($M34*$C83)+($N34*$C83)+($O34*$C83)+($P34*$C83)+($Q34*$C83)+($R34*$C83)/$E$6</f>
        <v>0</v>
      </c>
      <c r="S83" s="1652">
        <f>'11.2. Нови активи отч.год.'!S84</f>
        <v>0</v>
      </c>
      <c r="T83" s="2795">
        <f t="shared" ref="T83:T90" si="33">($T34*$C83)/$E$6</f>
        <v>0</v>
      </c>
      <c r="U83" s="989">
        <f t="shared" ref="U83:U90" si="34">($T34*$C83)+($U34*$C83)/$E$6</f>
        <v>0</v>
      </c>
      <c r="V83" s="989">
        <f t="shared" ref="V83:V90" si="35">($T34*$C83)+($U34*$C83)+($V34*$C83)/$E$6</f>
        <v>0</v>
      </c>
      <c r="W83" s="989">
        <f t="shared" ref="W83:W90" si="36">($T34*$C83)+($U34*$C83)+($V34*$C83)+($W34*$C83)/$E$6</f>
        <v>0</v>
      </c>
      <c r="X83" s="989">
        <f t="shared" ref="X83:X90" si="37">($T34*$C83)+($U34*$C83)+($V34*$C83)+($W34*$C83)+($X34*$C83)/$E$6</f>
        <v>0</v>
      </c>
      <c r="Y83" s="990">
        <f t="shared" ref="Y83:Y90" si="38">($T34*$C83)+($U34*$C83)+($V34*$C83)+($W34*$C83)+($X34*$C83)+($Y34*$C83)/$E$6</f>
        <v>0</v>
      </c>
      <c r="Z83" s="1652">
        <f>'11.2. Нови активи отч.год.'!Z84</f>
        <v>0</v>
      </c>
      <c r="AA83" s="991">
        <f t="shared" ref="AA83:AA90" si="39">($AA34*$C83)/$E$6</f>
        <v>0</v>
      </c>
      <c r="AB83" s="989">
        <f t="shared" ref="AB83:AB90" si="40">($AA34*$C83)+($AB34*$C83)/$E$6</f>
        <v>0</v>
      </c>
      <c r="AC83" s="989">
        <f t="shared" ref="AC83:AC90" si="41">($AA34*$C83)+($AB34*$C83)+($AC34*$C83)/$E$6</f>
        <v>0</v>
      </c>
      <c r="AD83" s="989">
        <f t="shared" ref="AD83:AD90" si="42">($AA34*$C83)+($AB34*$C83)+($AC34*$C83)+($AD34*$C83)/$E$6</f>
        <v>0</v>
      </c>
      <c r="AE83" s="989">
        <f t="shared" ref="AE83:AE90" si="43">($AA34*$C83)+($AB34*$C83)+($AC34*$C83)+($AD34*$C83)+($AE34*$C83)/$E$6</f>
        <v>0</v>
      </c>
      <c r="AF83" s="992">
        <f t="shared" ref="AF83:AF90" si="44">($AA34*$C83)+($AB34*$C83)+($AC34*$C83)+($AD34*$C83)+($AE34*$C83)+($AF34*$C83)/$E$6</f>
        <v>0</v>
      </c>
      <c r="AG83" s="616"/>
      <c r="AH83" s="617"/>
    </row>
    <row r="84" spans="1:34" s="618" customFormat="1">
      <c r="A84" s="952"/>
      <c r="B84" s="952">
        <v>2040202</v>
      </c>
      <c r="C84" s="1735">
        <v>0.02</v>
      </c>
      <c r="D84" s="1734" t="s">
        <v>1008</v>
      </c>
      <c r="E84" s="930">
        <f>'11.2. Нови активи отч.год.'!E85</f>
        <v>0</v>
      </c>
      <c r="F84" s="988">
        <f t="shared" si="21"/>
        <v>0</v>
      </c>
      <c r="G84" s="989">
        <f t="shared" si="22"/>
        <v>0</v>
      </c>
      <c r="H84" s="989">
        <f t="shared" si="23"/>
        <v>0.02</v>
      </c>
      <c r="I84" s="989">
        <f t="shared" si="24"/>
        <v>0.33999999999999997</v>
      </c>
      <c r="J84" s="989">
        <f t="shared" si="25"/>
        <v>0.94</v>
      </c>
      <c r="K84" s="990">
        <f t="shared" si="26"/>
        <v>1.54</v>
      </c>
      <c r="L84" s="930">
        <f>'11.2. Нови активи отч.год.'!L85</f>
        <v>0</v>
      </c>
      <c r="M84" s="991">
        <f t="shared" si="27"/>
        <v>0</v>
      </c>
      <c r="N84" s="989">
        <f t="shared" si="28"/>
        <v>0</v>
      </c>
      <c r="O84" s="989">
        <f t="shared" si="29"/>
        <v>0</v>
      </c>
      <c r="P84" s="989">
        <f t="shared" si="30"/>
        <v>0</v>
      </c>
      <c r="Q84" s="990">
        <f t="shared" si="31"/>
        <v>0</v>
      </c>
      <c r="R84" s="992">
        <f t="shared" si="32"/>
        <v>0</v>
      </c>
      <c r="S84" s="1652">
        <f>'11.2. Нови активи отч.год.'!S85</f>
        <v>0</v>
      </c>
      <c r="T84" s="2795">
        <f t="shared" si="33"/>
        <v>0</v>
      </c>
      <c r="U84" s="989">
        <f t="shared" si="34"/>
        <v>0</v>
      </c>
      <c r="V84" s="989">
        <f t="shared" si="35"/>
        <v>0</v>
      </c>
      <c r="W84" s="989">
        <f t="shared" si="36"/>
        <v>0</v>
      </c>
      <c r="X84" s="989">
        <f t="shared" si="37"/>
        <v>0</v>
      </c>
      <c r="Y84" s="990">
        <f t="shared" si="38"/>
        <v>0</v>
      </c>
      <c r="Z84" s="1652">
        <f>'11.2. Нови активи отч.год.'!Z85</f>
        <v>0</v>
      </c>
      <c r="AA84" s="991">
        <f t="shared" si="39"/>
        <v>0</v>
      </c>
      <c r="AB84" s="989">
        <f t="shared" si="40"/>
        <v>0</v>
      </c>
      <c r="AC84" s="989">
        <f t="shared" si="41"/>
        <v>0</v>
      </c>
      <c r="AD84" s="989">
        <f t="shared" si="42"/>
        <v>0</v>
      </c>
      <c r="AE84" s="989">
        <f t="shared" si="43"/>
        <v>0</v>
      </c>
      <c r="AF84" s="992">
        <f t="shared" si="44"/>
        <v>0</v>
      </c>
      <c r="AG84" s="616"/>
      <c r="AH84" s="617"/>
    </row>
    <row r="85" spans="1:34" s="618" customFormat="1">
      <c r="A85" s="952"/>
      <c r="B85" s="952">
        <v>2040203</v>
      </c>
      <c r="C85" s="1735">
        <v>0.02</v>
      </c>
      <c r="D85" s="1734" t="s">
        <v>590</v>
      </c>
      <c r="E85" s="930">
        <f>'11.2. Нови активи отч.год.'!E86</f>
        <v>0</v>
      </c>
      <c r="F85" s="988">
        <f t="shared" si="21"/>
        <v>0</v>
      </c>
      <c r="G85" s="989">
        <f t="shared" si="22"/>
        <v>0</v>
      </c>
      <c r="H85" s="989">
        <f t="shared" si="23"/>
        <v>0</v>
      </c>
      <c r="I85" s="989">
        <f t="shared" si="24"/>
        <v>0</v>
      </c>
      <c r="J85" s="989">
        <f t="shared" si="25"/>
        <v>0</v>
      </c>
      <c r="K85" s="990">
        <f t="shared" si="26"/>
        <v>0</v>
      </c>
      <c r="L85" s="930">
        <f>'11.2. Нови активи отч.год.'!L86</f>
        <v>0</v>
      </c>
      <c r="M85" s="991">
        <f t="shared" si="27"/>
        <v>0</v>
      </c>
      <c r="N85" s="989">
        <f t="shared" si="28"/>
        <v>0</v>
      </c>
      <c r="O85" s="989">
        <f t="shared" si="29"/>
        <v>0</v>
      </c>
      <c r="P85" s="989">
        <f t="shared" si="30"/>
        <v>0</v>
      </c>
      <c r="Q85" s="990">
        <f t="shared" si="31"/>
        <v>0</v>
      </c>
      <c r="R85" s="992">
        <f t="shared" si="32"/>
        <v>0</v>
      </c>
      <c r="S85" s="1652">
        <f>'11.2. Нови активи отч.год.'!S86</f>
        <v>0</v>
      </c>
      <c r="T85" s="2795">
        <f t="shared" si="33"/>
        <v>0</v>
      </c>
      <c r="U85" s="989">
        <f t="shared" si="34"/>
        <v>0</v>
      </c>
      <c r="V85" s="989">
        <f t="shared" si="35"/>
        <v>0</v>
      </c>
      <c r="W85" s="989">
        <f t="shared" si="36"/>
        <v>0</v>
      </c>
      <c r="X85" s="989">
        <f t="shared" si="37"/>
        <v>0</v>
      </c>
      <c r="Y85" s="990">
        <f t="shared" si="38"/>
        <v>0</v>
      </c>
      <c r="Z85" s="1652">
        <f>'11.2. Нови активи отч.год.'!Z86</f>
        <v>0</v>
      </c>
      <c r="AA85" s="991">
        <f t="shared" si="39"/>
        <v>0</v>
      </c>
      <c r="AB85" s="989">
        <f t="shared" si="40"/>
        <v>0</v>
      </c>
      <c r="AC85" s="989">
        <f t="shared" si="41"/>
        <v>0</v>
      </c>
      <c r="AD85" s="989">
        <f t="shared" si="42"/>
        <v>0</v>
      </c>
      <c r="AE85" s="989">
        <f t="shared" si="43"/>
        <v>0</v>
      </c>
      <c r="AF85" s="992">
        <f t="shared" si="44"/>
        <v>0</v>
      </c>
      <c r="AG85" s="616"/>
      <c r="AH85" s="617"/>
    </row>
    <row r="86" spans="1:34" s="618" customFormat="1">
      <c r="A86" s="952"/>
      <c r="B86" s="952">
        <v>2040204</v>
      </c>
      <c r="C86" s="1735">
        <v>0.02</v>
      </c>
      <c r="D86" s="1737" t="s">
        <v>591</v>
      </c>
      <c r="E86" s="930">
        <f>'11.2. Нови активи отч.год.'!E87</f>
        <v>0</v>
      </c>
      <c r="F86" s="988">
        <f t="shared" si="21"/>
        <v>0</v>
      </c>
      <c r="G86" s="989">
        <f t="shared" si="22"/>
        <v>0</v>
      </c>
      <c r="H86" s="989">
        <f t="shared" si="23"/>
        <v>0</v>
      </c>
      <c r="I86" s="989">
        <f t="shared" si="24"/>
        <v>0.2</v>
      </c>
      <c r="J86" s="989">
        <f t="shared" si="25"/>
        <v>0.60000000000000009</v>
      </c>
      <c r="K86" s="990">
        <f t="shared" si="26"/>
        <v>1</v>
      </c>
      <c r="L86" s="930">
        <f>'11.2. Нови активи отч.год.'!L87</f>
        <v>0</v>
      </c>
      <c r="M86" s="991">
        <f t="shared" si="27"/>
        <v>0</v>
      </c>
      <c r="N86" s="989">
        <f t="shared" si="28"/>
        <v>0</v>
      </c>
      <c r="O86" s="989">
        <f t="shared" si="29"/>
        <v>0</v>
      </c>
      <c r="P86" s="989">
        <f t="shared" si="30"/>
        <v>0</v>
      </c>
      <c r="Q86" s="990">
        <f t="shared" si="31"/>
        <v>0</v>
      </c>
      <c r="R86" s="992">
        <f t="shared" si="32"/>
        <v>0</v>
      </c>
      <c r="S86" s="1652">
        <f>'11.2. Нови активи отч.год.'!S87</f>
        <v>0</v>
      </c>
      <c r="T86" s="2795">
        <f t="shared" si="33"/>
        <v>0</v>
      </c>
      <c r="U86" s="989">
        <f t="shared" si="34"/>
        <v>0</v>
      </c>
      <c r="V86" s="989">
        <f t="shared" si="35"/>
        <v>0</v>
      </c>
      <c r="W86" s="989">
        <f t="shared" si="36"/>
        <v>0</v>
      </c>
      <c r="X86" s="989">
        <f t="shared" si="37"/>
        <v>0</v>
      </c>
      <c r="Y86" s="990">
        <f t="shared" si="38"/>
        <v>0</v>
      </c>
      <c r="Z86" s="1652">
        <f>'11.2. Нови активи отч.год.'!Z87</f>
        <v>0</v>
      </c>
      <c r="AA86" s="991">
        <f t="shared" si="39"/>
        <v>0</v>
      </c>
      <c r="AB86" s="989">
        <f t="shared" si="40"/>
        <v>0</v>
      </c>
      <c r="AC86" s="989">
        <f t="shared" si="41"/>
        <v>0</v>
      </c>
      <c r="AD86" s="989">
        <f t="shared" si="42"/>
        <v>0</v>
      </c>
      <c r="AE86" s="989">
        <f t="shared" si="43"/>
        <v>0</v>
      </c>
      <c r="AF86" s="992">
        <f t="shared" si="44"/>
        <v>0</v>
      </c>
      <c r="AG86" s="616"/>
      <c r="AH86" s="617"/>
    </row>
    <row r="87" spans="1:34" s="618" customFormat="1">
      <c r="A87" s="952"/>
      <c r="B87" s="952">
        <v>2040205</v>
      </c>
      <c r="C87" s="1735">
        <v>0.02</v>
      </c>
      <c r="D87" s="1734" t="s">
        <v>592</v>
      </c>
      <c r="E87" s="930">
        <f>'11.2. Нови активи отч.год.'!E88</f>
        <v>0</v>
      </c>
      <c r="F87" s="988">
        <f t="shared" si="21"/>
        <v>12.1</v>
      </c>
      <c r="G87" s="989">
        <f t="shared" si="22"/>
        <v>31.919999999999998</v>
      </c>
      <c r="H87" s="989">
        <f t="shared" si="23"/>
        <v>53.010000000000005</v>
      </c>
      <c r="I87" s="989">
        <f t="shared" si="24"/>
        <v>76.94</v>
      </c>
      <c r="J87" s="989">
        <f t="shared" si="25"/>
        <v>100.21000000000001</v>
      </c>
      <c r="K87" s="990">
        <f t="shared" si="26"/>
        <v>123.58</v>
      </c>
      <c r="L87" s="930">
        <f>'11.2. Нови активи отч.год.'!L88</f>
        <v>0</v>
      </c>
      <c r="M87" s="991">
        <f t="shared" si="27"/>
        <v>0</v>
      </c>
      <c r="N87" s="989">
        <f t="shared" si="28"/>
        <v>0</v>
      </c>
      <c r="O87" s="989">
        <f t="shared" si="29"/>
        <v>0</v>
      </c>
      <c r="P87" s="989">
        <f t="shared" si="30"/>
        <v>0</v>
      </c>
      <c r="Q87" s="990">
        <f t="shared" si="31"/>
        <v>0</v>
      </c>
      <c r="R87" s="992">
        <f t="shared" si="32"/>
        <v>0</v>
      </c>
      <c r="S87" s="1652">
        <f>'11.2. Нови активи отч.год.'!S88</f>
        <v>0</v>
      </c>
      <c r="T87" s="2795">
        <f t="shared" si="33"/>
        <v>0</v>
      </c>
      <c r="U87" s="989">
        <f t="shared" si="34"/>
        <v>0</v>
      </c>
      <c r="V87" s="989">
        <f t="shared" si="35"/>
        <v>0</v>
      </c>
      <c r="W87" s="989">
        <f t="shared" si="36"/>
        <v>0</v>
      </c>
      <c r="X87" s="989">
        <f t="shared" si="37"/>
        <v>0</v>
      </c>
      <c r="Y87" s="990">
        <f t="shared" si="38"/>
        <v>0</v>
      </c>
      <c r="Z87" s="1652">
        <f>'11.2. Нови активи отч.год.'!Z88</f>
        <v>0</v>
      </c>
      <c r="AA87" s="991">
        <f t="shared" si="39"/>
        <v>0</v>
      </c>
      <c r="AB87" s="989">
        <f t="shared" si="40"/>
        <v>0</v>
      </c>
      <c r="AC87" s="989">
        <f t="shared" si="41"/>
        <v>0</v>
      </c>
      <c r="AD87" s="989">
        <f t="shared" si="42"/>
        <v>0</v>
      </c>
      <c r="AE87" s="989">
        <f t="shared" si="43"/>
        <v>0</v>
      </c>
      <c r="AF87" s="992">
        <f t="shared" si="44"/>
        <v>0</v>
      </c>
      <c r="AG87" s="616"/>
      <c r="AH87" s="617"/>
    </row>
    <row r="88" spans="1:34" s="618" customFormat="1">
      <c r="A88" s="952"/>
      <c r="B88" s="952">
        <v>2040206</v>
      </c>
      <c r="C88" s="1735">
        <v>0.02</v>
      </c>
      <c r="D88" s="1734" t="s">
        <v>593</v>
      </c>
      <c r="E88" s="930">
        <f>'11.2. Нови активи отч.год.'!E89</f>
        <v>0</v>
      </c>
      <c r="F88" s="988">
        <f t="shared" si="21"/>
        <v>0</v>
      </c>
      <c r="G88" s="989">
        <f t="shared" si="22"/>
        <v>0</v>
      </c>
      <c r="H88" s="989">
        <f t="shared" si="23"/>
        <v>0</v>
      </c>
      <c r="I88" s="989">
        <f t="shared" si="24"/>
        <v>0</v>
      </c>
      <c r="J88" s="989">
        <f t="shared" si="25"/>
        <v>0</v>
      </c>
      <c r="K88" s="990">
        <f t="shared" si="26"/>
        <v>0</v>
      </c>
      <c r="L88" s="930">
        <f>'11.2. Нови активи отч.год.'!L89</f>
        <v>0</v>
      </c>
      <c r="M88" s="991">
        <f t="shared" si="27"/>
        <v>0.84</v>
      </c>
      <c r="N88" s="989">
        <f t="shared" si="28"/>
        <v>1.68</v>
      </c>
      <c r="O88" s="989">
        <f t="shared" si="29"/>
        <v>3.23</v>
      </c>
      <c r="P88" s="989">
        <f t="shared" si="30"/>
        <v>9.8800000000000008</v>
      </c>
      <c r="Q88" s="990">
        <f t="shared" si="31"/>
        <v>22.73</v>
      </c>
      <c r="R88" s="992">
        <f t="shared" si="32"/>
        <v>38.230000000000004</v>
      </c>
      <c r="S88" s="1652">
        <f>'11.2. Нови активи отч.год.'!S89</f>
        <v>0</v>
      </c>
      <c r="T88" s="2795">
        <f t="shared" si="33"/>
        <v>0</v>
      </c>
      <c r="U88" s="989">
        <f t="shared" si="34"/>
        <v>0</v>
      </c>
      <c r="V88" s="989">
        <f t="shared" si="35"/>
        <v>0</v>
      </c>
      <c r="W88" s="989">
        <f t="shared" si="36"/>
        <v>0</v>
      </c>
      <c r="X88" s="989">
        <f t="shared" si="37"/>
        <v>0</v>
      </c>
      <c r="Y88" s="990">
        <f t="shared" si="38"/>
        <v>0</v>
      </c>
      <c r="Z88" s="1652">
        <f>'11.2. Нови активи отч.год.'!Z89</f>
        <v>0</v>
      </c>
      <c r="AA88" s="991">
        <f t="shared" si="39"/>
        <v>0</v>
      </c>
      <c r="AB88" s="989">
        <f t="shared" si="40"/>
        <v>0</v>
      </c>
      <c r="AC88" s="989">
        <f t="shared" si="41"/>
        <v>0</v>
      </c>
      <c r="AD88" s="989">
        <f t="shared" si="42"/>
        <v>0</v>
      </c>
      <c r="AE88" s="989">
        <f t="shared" si="43"/>
        <v>0</v>
      </c>
      <c r="AF88" s="992">
        <f t="shared" si="44"/>
        <v>0</v>
      </c>
      <c r="AG88" s="616"/>
      <c r="AH88" s="617"/>
    </row>
    <row r="89" spans="1:34" s="618" customFormat="1" ht="24">
      <c r="A89" s="952"/>
      <c r="B89" s="952">
        <v>2040207</v>
      </c>
      <c r="C89" s="1735">
        <v>0.04</v>
      </c>
      <c r="D89" s="1734" t="s">
        <v>594</v>
      </c>
      <c r="E89" s="930">
        <f>'11.2. Нови активи отч.год.'!E90</f>
        <v>0</v>
      </c>
      <c r="F89" s="988">
        <f t="shared" si="21"/>
        <v>15.46</v>
      </c>
      <c r="G89" s="989">
        <f t="shared" si="22"/>
        <v>37.86</v>
      </c>
      <c r="H89" s="989">
        <f t="shared" si="23"/>
        <v>46.860000000000007</v>
      </c>
      <c r="I89" s="989">
        <f t="shared" si="24"/>
        <v>55.18</v>
      </c>
      <c r="J89" s="989">
        <f t="shared" si="25"/>
        <v>67.12</v>
      </c>
      <c r="K89" s="990">
        <f t="shared" si="26"/>
        <v>78.47999999999999</v>
      </c>
      <c r="L89" s="930">
        <f>'11.2. Нови активи отч.год.'!L90</f>
        <v>0</v>
      </c>
      <c r="M89" s="991">
        <f t="shared" si="27"/>
        <v>0</v>
      </c>
      <c r="N89" s="989">
        <f t="shared" si="28"/>
        <v>0</v>
      </c>
      <c r="O89" s="989">
        <f t="shared" si="29"/>
        <v>0</v>
      </c>
      <c r="P89" s="989">
        <f t="shared" si="30"/>
        <v>0</v>
      </c>
      <c r="Q89" s="990">
        <f t="shared" si="31"/>
        <v>0</v>
      </c>
      <c r="R89" s="992">
        <f t="shared" si="32"/>
        <v>0</v>
      </c>
      <c r="S89" s="1652">
        <f>'11.2. Нови активи отч.год.'!S90</f>
        <v>0</v>
      </c>
      <c r="T89" s="2795">
        <f t="shared" si="33"/>
        <v>2.4</v>
      </c>
      <c r="U89" s="989">
        <f t="shared" si="34"/>
        <v>5.4799999999999995</v>
      </c>
      <c r="V89" s="989">
        <f t="shared" si="35"/>
        <v>8.52</v>
      </c>
      <c r="W89" s="989">
        <f t="shared" si="36"/>
        <v>12.28</v>
      </c>
      <c r="X89" s="989">
        <f t="shared" si="37"/>
        <v>14.379999999999999</v>
      </c>
      <c r="Y89" s="990">
        <f t="shared" si="38"/>
        <v>15.48</v>
      </c>
      <c r="Z89" s="1652">
        <f>'11.2. Нови активи отч.год.'!Z90</f>
        <v>0</v>
      </c>
      <c r="AA89" s="991">
        <f t="shared" si="39"/>
        <v>0</v>
      </c>
      <c r="AB89" s="989">
        <f t="shared" si="40"/>
        <v>0</v>
      </c>
      <c r="AC89" s="989">
        <f t="shared" si="41"/>
        <v>0</v>
      </c>
      <c r="AD89" s="989">
        <f t="shared" si="42"/>
        <v>0</v>
      </c>
      <c r="AE89" s="989">
        <f t="shared" si="43"/>
        <v>0</v>
      </c>
      <c r="AF89" s="992">
        <f t="shared" si="44"/>
        <v>0</v>
      </c>
      <c r="AG89" s="616"/>
      <c r="AH89" s="617"/>
    </row>
    <row r="90" spans="1:34" s="618" customFormat="1">
      <c r="A90" s="952"/>
      <c r="B90" s="952">
        <v>2040208</v>
      </c>
      <c r="C90" s="1735">
        <v>0.04</v>
      </c>
      <c r="D90" s="1734" t="s">
        <v>595</v>
      </c>
      <c r="E90" s="930">
        <f>'11.2. Нови активи отч.год.'!E91</f>
        <v>0</v>
      </c>
      <c r="F90" s="988">
        <f t="shared" si="21"/>
        <v>0</v>
      </c>
      <c r="G90" s="989">
        <f t="shared" si="22"/>
        <v>0</v>
      </c>
      <c r="H90" s="989">
        <f t="shared" si="23"/>
        <v>0</v>
      </c>
      <c r="I90" s="989">
        <f t="shared" si="24"/>
        <v>0</v>
      </c>
      <c r="J90" s="989">
        <f t="shared" si="25"/>
        <v>0</v>
      </c>
      <c r="K90" s="990">
        <f t="shared" si="26"/>
        <v>0</v>
      </c>
      <c r="L90" s="930">
        <f>'11.2. Нови активи отч.год.'!L91</f>
        <v>0</v>
      </c>
      <c r="M90" s="991">
        <f t="shared" si="27"/>
        <v>0</v>
      </c>
      <c r="N90" s="989">
        <f t="shared" si="28"/>
        <v>0</v>
      </c>
      <c r="O90" s="989">
        <f t="shared" si="29"/>
        <v>0</v>
      </c>
      <c r="P90" s="989">
        <f t="shared" si="30"/>
        <v>0</v>
      </c>
      <c r="Q90" s="990">
        <f t="shared" si="31"/>
        <v>0</v>
      </c>
      <c r="R90" s="992">
        <f t="shared" si="32"/>
        <v>0</v>
      </c>
      <c r="S90" s="1652">
        <f>'11.2. Нови активи отч.год.'!S91</f>
        <v>0</v>
      </c>
      <c r="T90" s="2795">
        <f t="shared" si="33"/>
        <v>0</v>
      </c>
      <c r="U90" s="989">
        <f t="shared" si="34"/>
        <v>0</v>
      </c>
      <c r="V90" s="989">
        <f t="shared" si="35"/>
        <v>0</v>
      </c>
      <c r="W90" s="989">
        <f t="shared" si="36"/>
        <v>0</v>
      </c>
      <c r="X90" s="989">
        <f t="shared" si="37"/>
        <v>0</v>
      </c>
      <c r="Y90" s="990">
        <f t="shared" si="38"/>
        <v>0</v>
      </c>
      <c r="Z90" s="1652">
        <f>'11.2. Нови активи отч.год.'!Z91</f>
        <v>0</v>
      </c>
      <c r="AA90" s="991">
        <f t="shared" si="39"/>
        <v>0</v>
      </c>
      <c r="AB90" s="989">
        <f t="shared" si="40"/>
        <v>0</v>
      </c>
      <c r="AC90" s="989">
        <f t="shared" si="41"/>
        <v>0</v>
      </c>
      <c r="AD90" s="989">
        <f t="shared" si="42"/>
        <v>0</v>
      </c>
      <c r="AE90" s="989">
        <f t="shared" si="43"/>
        <v>0</v>
      </c>
      <c r="AF90" s="992">
        <f t="shared" si="44"/>
        <v>0</v>
      </c>
      <c r="AG90" s="616"/>
      <c r="AH90" s="617"/>
    </row>
    <row r="91" spans="1:34">
      <c r="A91" s="277"/>
      <c r="B91" s="1753">
        <v>20403</v>
      </c>
      <c r="C91" s="1754">
        <v>0.04</v>
      </c>
      <c r="D91" s="1742" t="s">
        <v>1524</v>
      </c>
      <c r="E91" s="930">
        <f>'11.2. Нови активи отч.год.'!E92</f>
        <v>0</v>
      </c>
      <c r="F91" s="898">
        <f>($F42*$C91)/$E$6</f>
        <v>0</v>
      </c>
      <c r="G91" s="887">
        <f>($F42*$C91)+($G42*$C91)/$E$6</f>
        <v>0</v>
      </c>
      <c r="H91" s="887">
        <f>($F42*$C91)+($G42*$C91)+($H42*$C91)/$E$6</f>
        <v>0</v>
      </c>
      <c r="I91" s="887">
        <f>($F42*$C91)+($G42*$C91)+($H42*$C91)+($I42*$C91)/$E$6</f>
        <v>0</v>
      </c>
      <c r="J91" s="887">
        <f>($F42*$C91)+($G42*$C91)+($H42*$C91)+($I42*$C91)+($J42*$C91)/$E$6</f>
        <v>0</v>
      </c>
      <c r="K91" s="986">
        <f>($F42*$C91)+($G42*$C91)+($H42*$C91)+($I42*$C91)+($J42*$C91)+($K42*$C91)/$E$6</f>
        <v>0</v>
      </c>
      <c r="L91" s="930">
        <f>'11.2. Нови активи отч.год.'!L92</f>
        <v>0</v>
      </c>
      <c r="M91" s="886">
        <f>($M42*$C91)/$E$6</f>
        <v>0</v>
      </c>
      <c r="N91" s="887">
        <f>($M42*$C91)+($N42*$C91)/$E$6</f>
        <v>0</v>
      </c>
      <c r="O91" s="887">
        <f>($M42*$C91)+($N42*$C91)+($O42*$C91)/$E$6</f>
        <v>0</v>
      </c>
      <c r="P91" s="887">
        <f>($M42*$C91)+($N42*$C91)+($O42*$C91)+($P42*$C91)/$E$6</f>
        <v>0</v>
      </c>
      <c r="Q91" s="986">
        <f>($M42*$C91)+($N42*$C91)+($O42*$C91)+($P42*$C91)+($Q42*$C91)/$E$6</f>
        <v>0</v>
      </c>
      <c r="R91" s="888">
        <f>($M42*$C91)+($N42*$C91)+($O42*$C91)+($P42*$C91)+($Q42*$C91)+($R42*$C91)/$E$6</f>
        <v>0</v>
      </c>
      <c r="S91" s="1652">
        <f>'11.2. Нови активи отч.год.'!S92</f>
        <v>0</v>
      </c>
      <c r="T91" s="933">
        <f>($T42*$C91)/$E$6</f>
        <v>0</v>
      </c>
      <c r="U91" s="887">
        <f>($T42*$C91)+($U42*$C91)/$E$6</f>
        <v>0</v>
      </c>
      <c r="V91" s="887">
        <f>($T42*$C91)+($U42*$C91)+($V42*$C91)/$E$6</f>
        <v>0</v>
      </c>
      <c r="W91" s="887">
        <f>($T42*$C91)+($U42*$C91)+($V42*$C91)+($W42*$C91)/$E$6</f>
        <v>0</v>
      </c>
      <c r="X91" s="887">
        <f>($T42*$C91)+($U42*$C91)+($V42*$C91)+($W42*$C91)+($X42*$C91)/$E$6</f>
        <v>0</v>
      </c>
      <c r="Y91" s="986">
        <f>($T42*$C91)+($U42*$C91)+($V42*$C91)+($W42*$C91)+($X42*$C91)+($Y42*$C91)/$E$6</f>
        <v>0</v>
      </c>
      <c r="Z91" s="1652">
        <f>'11.2. Нови активи отч.год.'!Z92</f>
        <v>0</v>
      </c>
      <c r="AA91" s="886">
        <f>($AA42*$C91)/$E$6</f>
        <v>0</v>
      </c>
      <c r="AB91" s="887">
        <f>($AA42*$C91)+($AB42*$C91)/$E$6</f>
        <v>0</v>
      </c>
      <c r="AC91" s="887">
        <f>($AA42*$C91)+($AB42*$C91)+($AC42*$C91)/$E$6</f>
        <v>0</v>
      </c>
      <c r="AD91" s="887">
        <f>($AA42*$C91)+($AB42*$C91)+($AC42*$C91)+($AD42*$C91)/$E$6</f>
        <v>0</v>
      </c>
      <c r="AE91" s="887">
        <f>($AA42*$C91)+($AB42*$C91)+($AC42*$C91)+($AD42*$C91)+($AE42*$C91)/$E$6</f>
        <v>0</v>
      </c>
      <c r="AF91" s="888">
        <f>($AA42*$C91)+($AB42*$C91)+($AC42*$C91)+($AD42*$C91)+($AE42*$C91)+($AF42*$C91)/$E$6</f>
        <v>0</v>
      </c>
      <c r="AG91" s="306"/>
      <c r="AH91" s="564"/>
    </row>
    <row r="92" spans="1:34" ht="25.5">
      <c r="A92" s="277"/>
      <c r="B92" s="1753" t="s">
        <v>1525</v>
      </c>
      <c r="C92" s="1754">
        <v>0.04</v>
      </c>
      <c r="D92" s="1742" t="s">
        <v>1526</v>
      </c>
      <c r="E92" s="930">
        <f>'11.2. Нови активи отч.год.'!E93</f>
        <v>0</v>
      </c>
      <c r="F92" s="898">
        <f>($F43*$C92)/$E$6</f>
        <v>0</v>
      </c>
      <c r="G92" s="887">
        <f>($F43*$C92)+($G43*$C92)/$E$6</f>
        <v>0</v>
      </c>
      <c r="H92" s="887">
        <f>($F43*$C92)+($G43*$C92)+($H43*$C92)/$E$6</f>
        <v>0</v>
      </c>
      <c r="I92" s="887">
        <f>($F43*$C92)+($G43*$C92)+($H43*$C92)+($I43*$C92)/$E$6</f>
        <v>0</v>
      </c>
      <c r="J92" s="887">
        <f>($F43*$C92)+($G43*$C92)+($H43*$C92)+($I43*$C92)+($J43*$C92)/$E$6</f>
        <v>0</v>
      </c>
      <c r="K92" s="986">
        <f>($F43*$C92)+($G43*$C92)+($H43*$C92)+($I43*$C92)+($J43*$C92)+($K43*$C92)/$E$6</f>
        <v>0</v>
      </c>
      <c r="L92" s="930">
        <f>'11.2. Нови активи отч.год.'!L93</f>
        <v>0</v>
      </c>
      <c r="M92" s="886">
        <f>($M43*$C92)/$E$6</f>
        <v>0</v>
      </c>
      <c r="N92" s="887">
        <f>($M43*$C92)+($N43*$C92)/$E$6</f>
        <v>0</v>
      </c>
      <c r="O92" s="887">
        <f>($M43*$C92)+($N43*$C92)+($O43*$C92)/$E$6</f>
        <v>0</v>
      </c>
      <c r="P92" s="887">
        <f>($M43*$C92)+($N43*$C92)+($O43*$C92)+($P43*$C92)/$E$6</f>
        <v>0</v>
      </c>
      <c r="Q92" s="986">
        <f>($M43*$C92)+($N43*$C92)+($O43*$C92)+($P43*$C92)+($Q43*$C92)/$E$6</f>
        <v>0</v>
      </c>
      <c r="R92" s="888">
        <f>($M43*$C92)+($N43*$C92)+($O43*$C92)+($P43*$C92)+($Q43*$C92)+($R43*$C92)/$E$6</f>
        <v>0</v>
      </c>
      <c r="S92" s="1652">
        <f>'11.2. Нови активи отч.год.'!S93</f>
        <v>0</v>
      </c>
      <c r="T92" s="933">
        <f>($T43*$C92)/$E$6</f>
        <v>0</v>
      </c>
      <c r="U92" s="887">
        <f>($T43*$C92)+($U43*$C92)/$E$6</f>
        <v>0</v>
      </c>
      <c r="V92" s="887">
        <f>($T43*$C92)+($U43*$C92)+($V43*$C92)/$E$6</f>
        <v>0</v>
      </c>
      <c r="W92" s="887">
        <f>($T43*$C92)+($U43*$C92)+($V43*$C92)+($W43*$C92)/$E$6</f>
        <v>0</v>
      </c>
      <c r="X92" s="887">
        <f>($T43*$C92)+($U43*$C92)+($V43*$C92)+($W43*$C92)+($X43*$C92)/$E$6</f>
        <v>0</v>
      </c>
      <c r="Y92" s="986">
        <f>($T43*$C92)+($U43*$C92)+($V43*$C92)+($W43*$C92)+($X43*$C92)+($Y43*$C92)/$E$6</f>
        <v>0</v>
      </c>
      <c r="Z92" s="1652">
        <f>'11.2. Нови активи отч.год.'!Z93</f>
        <v>0</v>
      </c>
      <c r="AA92" s="886">
        <f>($AA43*$C92)/$E$6</f>
        <v>0</v>
      </c>
      <c r="AB92" s="887">
        <f>($AA43*$C92)+($AB43*$C92)/$E$6</f>
        <v>0</v>
      </c>
      <c r="AC92" s="887">
        <f>($AA43*$C92)+($AB43*$C92)+($AC43*$C92)/$E$6</f>
        <v>0</v>
      </c>
      <c r="AD92" s="887">
        <f>($AA43*$C92)+($AB43*$C92)+($AC43*$C92)+($AD43*$C92)/$E$6</f>
        <v>0</v>
      </c>
      <c r="AE92" s="887">
        <f>($AA43*$C92)+($AB43*$C92)+($AC43*$C92)+($AD43*$C92)+($AE43*$C92)/$E$6</f>
        <v>0</v>
      </c>
      <c r="AF92" s="888">
        <f>($AA43*$C92)+($AB43*$C92)+($AC43*$C92)+($AD43*$C92)+($AE43*$C92)+($AF43*$C92)/$E$6</f>
        <v>0</v>
      </c>
      <c r="AG92" s="306"/>
      <c r="AH92" s="564"/>
    </row>
    <row r="93" spans="1:34">
      <c r="A93" s="939">
        <v>5</v>
      </c>
      <c r="B93" s="939">
        <v>205</v>
      </c>
      <c r="C93" s="1728"/>
      <c r="D93" s="1731" t="s">
        <v>275</v>
      </c>
      <c r="E93" s="985">
        <f t="shared" ref="E93:AF93" si="45">SUM(E94:E97)</f>
        <v>8</v>
      </c>
      <c r="F93" s="979">
        <f t="shared" si="45"/>
        <v>0</v>
      </c>
      <c r="G93" s="980">
        <f t="shared" si="45"/>
        <v>0</v>
      </c>
      <c r="H93" s="980">
        <f t="shared" si="45"/>
        <v>0</v>
      </c>
      <c r="I93" s="980">
        <f t="shared" si="45"/>
        <v>3</v>
      </c>
      <c r="J93" s="980">
        <f t="shared" si="45"/>
        <v>7.5</v>
      </c>
      <c r="K93" s="981">
        <f t="shared" si="45"/>
        <v>10.5</v>
      </c>
      <c r="L93" s="982">
        <f t="shared" si="45"/>
        <v>0.2</v>
      </c>
      <c r="M93" s="979">
        <f t="shared" si="45"/>
        <v>0</v>
      </c>
      <c r="N93" s="980">
        <f t="shared" si="45"/>
        <v>0</v>
      </c>
      <c r="O93" s="980">
        <f t="shared" si="45"/>
        <v>0</v>
      </c>
      <c r="P93" s="980">
        <f t="shared" si="45"/>
        <v>1.5</v>
      </c>
      <c r="Q93" s="980">
        <f t="shared" si="45"/>
        <v>8.08</v>
      </c>
      <c r="R93" s="983">
        <f t="shared" si="45"/>
        <v>13.16</v>
      </c>
      <c r="S93" s="982">
        <f t="shared" si="45"/>
        <v>0</v>
      </c>
      <c r="T93" s="984">
        <f t="shared" si="45"/>
        <v>0</v>
      </c>
      <c r="U93" s="980">
        <f t="shared" si="45"/>
        <v>0</v>
      </c>
      <c r="V93" s="980">
        <f t="shared" si="45"/>
        <v>3.5</v>
      </c>
      <c r="W93" s="980">
        <f t="shared" si="45"/>
        <v>7</v>
      </c>
      <c r="X93" s="980">
        <f t="shared" si="45"/>
        <v>7</v>
      </c>
      <c r="Y93" s="983">
        <f t="shared" si="45"/>
        <v>7</v>
      </c>
      <c r="Z93" s="982">
        <f t="shared" si="45"/>
        <v>0</v>
      </c>
      <c r="AA93" s="984">
        <f t="shared" si="45"/>
        <v>0</v>
      </c>
      <c r="AB93" s="980">
        <f t="shared" si="45"/>
        <v>3.25</v>
      </c>
      <c r="AC93" s="980">
        <f t="shared" si="45"/>
        <v>8.75</v>
      </c>
      <c r="AD93" s="980">
        <f t="shared" si="45"/>
        <v>11</v>
      </c>
      <c r="AE93" s="980">
        <f t="shared" si="45"/>
        <v>11</v>
      </c>
      <c r="AF93" s="983">
        <f t="shared" si="45"/>
        <v>11</v>
      </c>
      <c r="AG93" s="306"/>
      <c r="AH93" s="564"/>
    </row>
    <row r="94" spans="1:34">
      <c r="A94" s="897"/>
      <c r="B94" s="897">
        <v>20501</v>
      </c>
      <c r="C94" s="1554">
        <v>0.08</v>
      </c>
      <c r="D94" s="1549" t="s">
        <v>765</v>
      </c>
      <c r="E94" s="930">
        <f>'11.2. Нови активи отч.год.'!E95</f>
        <v>6</v>
      </c>
      <c r="F94" s="898">
        <f>($F45*$C94)/$E$6</f>
        <v>0</v>
      </c>
      <c r="G94" s="899">
        <f>($F45*$C94)+($G45*$C94)/$E$6</f>
        <v>0</v>
      </c>
      <c r="H94" s="899">
        <f>($F45*$C94)+($G45*$C94)+($H45*$C94)/$E$6</f>
        <v>0</v>
      </c>
      <c r="I94" s="899">
        <f>($F45*$C94)+($G45*$C94)+($H45*$C94)+($I45*$C94)/$E$6</f>
        <v>0</v>
      </c>
      <c r="J94" s="899">
        <f>($F45*$C94)+($G45*$C94)+($H45*$C94)+($I45*$C94)+($J45*$C94)/$E$6</f>
        <v>0</v>
      </c>
      <c r="K94" s="978">
        <f>($F45*$C94)+($G45*$C94)+($H45*$C94)+($I45*$C94)+($J45*$C94)+($K45*$C94)/$E$6</f>
        <v>0</v>
      </c>
      <c r="L94" s="930">
        <f>'11.2. Нови активи отч.год.'!L95</f>
        <v>0.2</v>
      </c>
      <c r="M94" s="898">
        <f>($M45*$C94)/$E$6</f>
        <v>0</v>
      </c>
      <c r="N94" s="899">
        <f>($M45*$C94)+($N45*$C94)/$E$6</f>
        <v>0</v>
      </c>
      <c r="O94" s="899">
        <f>($M45*$C94)+($N45*$C94)+($O45*$C94)/$E$6</f>
        <v>0</v>
      </c>
      <c r="P94" s="899">
        <f>($M45*$C94)+($N45*$C94)+($O45*$C94)+($P45*$C94)/$E$6</f>
        <v>0</v>
      </c>
      <c r="Q94" s="978">
        <f>($M45*$C94)+($N45*$C94)+($O45*$C94)+($P45*$C94)+($Q45*$C94)/$E$6</f>
        <v>5.08</v>
      </c>
      <c r="R94" s="900">
        <f>($M45*$C94)+($N45*$C94)+($O45*$C94)+($P45*$C94)+($Q45*$C94)+($R45*$C94)/$E$6</f>
        <v>10.16</v>
      </c>
      <c r="S94" s="1652">
        <f>'11.2. Нови активи отч.год.'!S95</f>
        <v>0</v>
      </c>
      <c r="T94" s="2794">
        <f>($T45*$C94)/$E$6</f>
        <v>0</v>
      </c>
      <c r="U94" s="899">
        <f>($T45*$C94)+($U45*$C94)/$E$6</f>
        <v>0</v>
      </c>
      <c r="V94" s="899">
        <f>($T45*$C94)+($U45*$C94)+($V45*$C94)/$E$6</f>
        <v>0</v>
      </c>
      <c r="W94" s="899">
        <f>($T45*$C94)+($U45*$C94)+($V45*$C94)+($W45*$C94)/$E$6</f>
        <v>0</v>
      </c>
      <c r="X94" s="899">
        <f>($T45*$C94)+($U45*$C94)+($V45*$C94)+($W45*$C94)+($X45*$C94)/$E$6</f>
        <v>0</v>
      </c>
      <c r="Y94" s="978">
        <f>($T45*$C94)+($U45*$C94)+($V45*$C94)+($W45*$C94)+($X45*$C94)+($Y45*$C94)/$E$6</f>
        <v>0</v>
      </c>
      <c r="Z94" s="1652">
        <f>'11.2. Нови активи отч.год.'!Z95</f>
        <v>0</v>
      </c>
      <c r="AA94" s="898">
        <f>($AA45*$C94)/$E$6</f>
        <v>0</v>
      </c>
      <c r="AB94" s="899">
        <f>($AA45*$C94)+($AB45*$C94)/$E$6</f>
        <v>0</v>
      </c>
      <c r="AC94" s="899">
        <f>($AA45*$C94)+($AB45*$C94)+($AC45*$C94)/$E$6</f>
        <v>0</v>
      </c>
      <c r="AD94" s="899">
        <f>($AA45*$C94)+($AB45*$C94)+($AC45*$C94)+($AD45*$C94)/$E$6</f>
        <v>0</v>
      </c>
      <c r="AE94" s="899">
        <f>($AA45*$C94)+($AB45*$C94)+($AC45*$C94)+($AD45*$C94)+($AE45*$C94)/$E$6</f>
        <v>0</v>
      </c>
      <c r="AF94" s="900">
        <f>($AA45*$C94)+($AB45*$C94)+($AC45*$C94)+($AD45*$C94)+($AE45*$C94)+($AF45*$C94)/$E$6</f>
        <v>0</v>
      </c>
      <c r="AG94" s="306"/>
      <c r="AH94" s="564"/>
    </row>
    <row r="95" spans="1:34">
      <c r="A95" s="897"/>
      <c r="B95" s="897">
        <v>20502</v>
      </c>
      <c r="C95" s="1554">
        <v>0.1</v>
      </c>
      <c r="D95" s="1549" t="s">
        <v>583</v>
      </c>
      <c r="E95" s="930">
        <f>'11.2. Нови активи отч.год.'!E96</f>
        <v>2</v>
      </c>
      <c r="F95" s="898">
        <f>($F46*$C95)/$E$6</f>
        <v>0</v>
      </c>
      <c r="G95" s="887">
        <f>($F46*$C95)+($G46*$C95)/$E$6</f>
        <v>0</v>
      </c>
      <c r="H95" s="887">
        <f>($F46*$C95)+($G46*$C95)+($H46*$C95)/$E$6</f>
        <v>0</v>
      </c>
      <c r="I95" s="887">
        <f>($F46*$C95)+($G46*$C95)+($H46*$C95)+($I46*$C95)/$E$6</f>
        <v>3</v>
      </c>
      <c r="J95" s="887">
        <f>($F46*$C95)+($G46*$C95)+($H46*$C95)+($I46*$C95)+($J46*$C95)/$E$6</f>
        <v>7.5</v>
      </c>
      <c r="K95" s="986">
        <f>($F46*$C95)+($G46*$C95)+($H46*$C95)+($I46*$C95)+($J46*$C95)+($K46*$C95)/$E$6</f>
        <v>10.5</v>
      </c>
      <c r="L95" s="930">
        <f>'11.2. Нови активи отч.год.'!L96</f>
        <v>0</v>
      </c>
      <c r="M95" s="886">
        <f>($M46*$C95)/$E$6</f>
        <v>0</v>
      </c>
      <c r="N95" s="887">
        <f>($M46*$C95)+($N46*$C95)/$E$6</f>
        <v>0</v>
      </c>
      <c r="O95" s="887">
        <f>($M46*$C95)+($N46*$C95)+($O46*$C95)/$E$6</f>
        <v>0</v>
      </c>
      <c r="P95" s="887">
        <f>($M46*$C95)+($N46*$C95)+($O46*$C95)+($P46*$C95)/$E$6</f>
        <v>1.5</v>
      </c>
      <c r="Q95" s="986">
        <f>($M46*$C95)+($N46*$C95)+($O46*$C95)+($P46*$C95)+($Q46*$C95)/$E$6</f>
        <v>3</v>
      </c>
      <c r="R95" s="888">
        <f>($M46*$C95)+($N46*$C95)+($O46*$C95)+($P46*$C95)+($Q46*$C95)+($R46*$C95)/$E$6</f>
        <v>3</v>
      </c>
      <c r="S95" s="1652">
        <f>'11.2. Нови активи отч.год.'!S96</f>
        <v>0</v>
      </c>
      <c r="T95" s="933">
        <f>($T46*$C95)/$E$6</f>
        <v>0</v>
      </c>
      <c r="U95" s="887">
        <f>($T46*$C95)+($U46*$C95)/$E$6</f>
        <v>0</v>
      </c>
      <c r="V95" s="887">
        <f>($T46*$C95)+($U46*$C95)+($V46*$C95)/$E$6</f>
        <v>3</v>
      </c>
      <c r="W95" s="887">
        <f>($T46*$C95)+($U46*$C95)+($V46*$C95)+($W46*$C95)/$E$6</f>
        <v>6</v>
      </c>
      <c r="X95" s="887">
        <f>($T46*$C95)+($U46*$C95)+($V46*$C95)+($W46*$C95)+($X46*$C95)/$E$6</f>
        <v>6</v>
      </c>
      <c r="Y95" s="986">
        <f>($T46*$C95)+($U46*$C95)+($V46*$C95)+($W46*$C95)+($X46*$C95)+($Y46*$C95)/$E$6</f>
        <v>6</v>
      </c>
      <c r="Z95" s="1652">
        <f>'11.2. Нови активи отч.год.'!Z96</f>
        <v>0</v>
      </c>
      <c r="AA95" s="886">
        <f>($AA46*$C95)/$E$6</f>
        <v>0</v>
      </c>
      <c r="AB95" s="887">
        <f>($AA46*$C95)+($AB46*$C95)/$E$6</f>
        <v>0</v>
      </c>
      <c r="AC95" s="887">
        <f>($AA46*$C95)+($AB46*$C95)+($AC46*$C95)/$E$6</f>
        <v>2.25</v>
      </c>
      <c r="AD95" s="887">
        <f>($AA46*$C95)+($AB46*$C95)+($AC46*$C95)+($AD46*$C95)/$E$6</f>
        <v>4.5</v>
      </c>
      <c r="AE95" s="887">
        <f>($AA46*$C95)+($AB46*$C95)+($AC46*$C95)+($AD46*$C95)+($AE46*$C95)/$E$6</f>
        <v>4.5</v>
      </c>
      <c r="AF95" s="888">
        <f>($AA46*$C95)+($AB46*$C95)+($AC46*$C95)+($AD46*$C95)+($AE46*$C95)+($AF46*$C95)/$E$6</f>
        <v>4.5</v>
      </c>
      <c r="AG95" s="306"/>
      <c r="AH95" s="564"/>
    </row>
    <row r="96" spans="1:34">
      <c r="A96" s="897"/>
      <c r="B96" s="897">
        <v>20503</v>
      </c>
      <c r="C96" s="1554">
        <v>0.1</v>
      </c>
      <c r="D96" s="1546" t="s">
        <v>584</v>
      </c>
      <c r="E96" s="930">
        <f>'11.2. Нови активи отч.год.'!E97</f>
        <v>0</v>
      </c>
      <c r="F96" s="898">
        <f>($F47*$C96)/$E$6</f>
        <v>0</v>
      </c>
      <c r="G96" s="887">
        <f>($F47*$C96)+($G47*$C96)/$E$6</f>
        <v>0</v>
      </c>
      <c r="H96" s="887">
        <f>($F47*$C96)+($G47*$C96)+($H47*$C96)/$E$6</f>
        <v>0</v>
      </c>
      <c r="I96" s="887">
        <f>($F47*$C96)+($G47*$C96)+($H47*$C96)+($I47*$C96)/$E$6</f>
        <v>0</v>
      </c>
      <c r="J96" s="887">
        <f>($F47*$C96)+($G47*$C96)+($H47*$C96)+($I47*$C96)+($J47*$C96)/$E$6</f>
        <v>0</v>
      </c>
      <c r="K96" s="986">
        <f>($F47*$C96)+($G47*$C96)+($H47*$C96)+($I47*$C96)+($J47*$C96)+($K47*$C96)/$E$6</f>
        <v>0</v>
      </c>
      <c r="L96" s="930">
        <f>'11.2. Нови активи отч.год.'!L97</f>
        <v>0</v>
      </c>
      <c r="M96" s="886">
        <f>($M47*$C96)/$E$6</f>
        <v>0</v>
      </c>
      <c r="N96" s="887">
        <f>($M47*$C96)+($N47*$C96)/$E$6</f>
        <v>0</v>
      </c>
      <c r="O96" s="887">
        <f>($M47*$C96)+($N47*$C96)+($O47*$C96)/$E$6</f>
        <v>0</v>
      </c>
      <c r="P96" s="887">
        <f>($M47*$C96)+($N47*$C96)+($O47*$C96)+($P47*$C96)/$E$6</f>
        <v>0</v>
      </c>
      <c r="Q96" s="986">
        <f>($M47*$C96)+($N47*$C96)+($O47*$C96)+($P47*$C96)+($Q47*$C96)/$E$6</f>
        <v>0</v>
      </c>
      <c r="R96" s="888">
        <f>($M47*$C96)+($N47*$C96)+($O47*$C96)+($P47*$C96)+($Q47*$C96)+($R47*$C96)/$E$6</f>
        <v>0</v>
      </c>
      <c r="S96" s="1652">
        <f>'11.2. Нови активи отч.год.'!S97</f>
        <v>0</v>
      </c>
      <c r="T96" s="933">
        <f>($T47*$C96)/$E$6</f>
        <v>0</v>
      </c>
      <c r="U96" s="887">
        <f>($T47*$C96)+($U47*$C96)/$E$6</f>
        <v>0</v>
      </c>
      <c r="V96" s="887">
        <f>($T47*$C96)+($U47*$C96)+($V47*$C96)/$E$6</f>
        <v>0.5</v>
      </c>
      <c r="W96" s="887">
        <f>($T47*$C96)+($U47*$C96)+($V47*$C96)+($W47*$C96)/$E$6</f>
        <v>1</v>
      </c>
      <c r="X96" s="887">
        <f>($T47*$C96)+($U47*$C96)+($V47*$C96)+($W47*$C96)+($X47*$C96)/$E$6</f>
        <v>1</v>
      </c>
      <c r="Y96" s="986">
        <f>($T47*$C96)+($U47*$C96)+($V47*$C96)+($W47*$C96)+($X47*$C96)+($Y47*$C96)/$E$6</f>
        <v>1</v>
      </c>
      <c r="Z96" s="1652">
        <f>'11.2. Нови активи отч.год.'!Z97</f>
        <v>0</v>
      </c>
      <c r="AA96" s="886">
        <f>($AA47*$C96)/$E$6</f>
        <v>0</v>
      </c>
      <c r="AB96" s="887">
        <f>($AA47*$C96)+($AB47*$C96)/$E$6</f>
        <v>3.25</v>
      </c>
      <c r="AC96" s="887">
        <f>($AA47*$C96)+($AB47*$C96)+($AC47*$C96)/$E$6</f>
        <v>6.5</v>
      </c>
      <c r="AD96" s="887">
        <f>($AA47*$C96)+($AB47*$C96)+($AC47*$C96)+($AD47*$C96)/$E$6</f>
        <v>6.5</v>
      </c>
      <c r="AE96" s="887">
        <f>($AA47*$C96)+($AB47*$C96)+($AC47*$C96)+($AD47*$C96)+($AE47*$C96)/$E$6</f>
        <v>6.5</v>
      </c>
      <c r="AF96" s="888">
        <f>($AA47*$C96)+($AB47*$C96)+($AC47*$C96)+($AD47*$C96)+($AE47*$C96)+($AF47*$C96)/$E$6</f>
        <v>6.5</v>
      </c>
      <c r="AG96" s="306"/>
      <c r="AH96" s="564"/>
    </row>
    <row r="97" spans="1:34">
      <c r="A97" s="897"/>
      <c r="B97" s="897">
        <v>20504</v>
      </c>
      <c r="C97" s="1554">
        <v>0.1</v>
      </c>
      <c r="D97" s="1546" t="s">
        <v>759</v>
      </c>
      <c r="E97" s="930">
        <f>'11.2. Нови активи отч.год.'!E98</f>
        <v>0</v>
      </c>
      <c r="F97" s="898">
        <f>($F48*$C97)/$E$6</f>
        <v>0</v>
      </c>
      <c r="G97" s="887">
        <f>($F48*$C97)+($G48*$C97)/$E$6</f>
        <v>0</v>
      </c>
      <c r="H97" s="887">
        <f>($F48*$C97)+($G48*$C97)+($H48*$C97)/$E$6</f>
        <v>0</v>
      </c>
      <c r="I97" s="887">
        <f>($F48*$C97)+($G48*$C97)+($H48*$C97)+($I48*$C97)/$E$6</f>
        <v>0</v>
      </c>
      <c r="J97" s="887">
        <f>($F48*$C97)+($G48*$C97)+($H48*$C97)+($I48*$C97)+($J48*$C97)/$E$6</f>
        <v>0</v>
      </c>
      <c r="K97" s="986">
        <f>($F48*$C97)+($G48*$C97)+($H48*$C97)+($I48*$C97)+($J48*$C97)+($K48*$C97)/$E$6</f>
        <v>0</v>
      </c>
      <c r="L97" s="930">
        <f>'11.2. Нови активи отч.год.'!L98</f>
        <v>0</v>
      </c>
      <c r="M97" s="886">
        <f>($M48*$C97)/$E$6</f>
        <v>0</v>
      </c>
      <c r="N97" s="887">
        <f>($M48*$C97)+($N48*$C97)/$E$6</f>
        <v>0</v>
      </c>
      <c r="O97" s="887">
        <f>($M48*$C97)+($N48*$C97)+($O48*$C97)/$E$6</f>
        <v>0</v>
      </c>
      <c r="P97" s="887">
        <f>($M48*$C97)+($N48*$C97)+($O48*$C97)+($P48*$C97)/$E$6</f>
        <v>0</v>
      </c>
      <c r="Q97" s="986">
        <f>($M48*$C97)+($N48*$C97)+($O48*$C97)+($P48*$C97)+($Q48*$C97)/$E$6</f>
        <v>0</v>
      </c>
      <c r="R97" s="888">
        <f>($M48*$C97)+($N48*$C97)+($O48*$C97)+($P48*$C97)+($Q48*$C97)+($R48*$C97)/$E$6</f>
        <v>0</v>
      </c>
      <c r="S97" s="1652">
        <f>'11.2. Нови активи отч.год.'!S98</f>
        <v>0</v>
      </c>
      <c r="T97" s="933">
        <f>($T48*$C97)/$E$6</f>
        <v>0</v>
      </c>
      <c r="U97" s="887">
        <f>($T48*$C97)+($U48*$C97)/$E$6</f>
        <v>0</v>
      </c>
      <c r="V97" s="887">
        <f>($T48*$C97)+($U48*$C97)+($V48*$C97)/$E$6</f>
        <v>0</v>
      </c>
      <c r="W97" s="887">
        <f>($T48*$C97)+($U48*$C97)+($V48*$C97)+($W48*$C97)/$E$6</f>
        <v>0</v>
      </c>
      <c r="X97" s="887">
        <f>($T48*$C97)+($U48*$C97)+($V48*$C97)+($W48*$C97)+($X48*$C97)/$E$6</f>
        <v>0</v>
      </c>
      <c r="Y97" s="986">
        <f>($T48*$C97)+($U48*$C97)+($V48*$C97)+($W48*$C97)+($X48*$C97)+($Y48*$C97)/$E$6</f>
        <v>0</v>
      </c>
      <c r="Z97" s="1652">
        <f>'11.2. Нови активи отч.год.'!Z98</f>
        <v>0</v>
      </c>
      <c r="AA97" s="886">
        <f>($AA48*$C97)/$E$6</f>
        <v>0</v>
      </c>
      <c r="AB97" s="887">
        <f>($AA48*$C97)+($AB48*$C97)/$E$6</f>
        <v>0</v>
      </c>
      <c r="AC97" s="887">
        <f>($AA48*$C97)+($AB48*$C97)+($AC48*$C97)/$E$6</f>
        <v>0</v>
      </c>
      <c r="AD97" s="887">
        <f>($AA48*$C97)+($AB48*$C97)+($AC48*$C97)+($AD48*$C97)/$E$6</f>
        <v>0</v>
      </c>
      <c r="AE97" s="887">
        <f>($AA48*$C97)+($AB48*$C97)+($AC48*$C97)+($AD48*$C97)+($AE48*$C97)/$E$6</f>
        <v>0</v>
      </c>
      <c r="AF97" s="888">
        <f>($AA48*$C97)+($AB48*$C97)+($AC48*$C97)+($AD48*$C97)+($AE48*$C97)+($AF48*$C97)/$E$6</f>
        <v>0</v>
      </c>
      <c r="AG97" s="306"/>
      <c r="AH97" s="564"/>
    </row>
    <row r="98" spans="1:34" s="261" customFormat="1">
      <c r="A98" s="942">
        <v>6</v>
      </c>
      <c r="B98" s="942">
        <v>206</v>
      </c>
      <c r="C98" s="1739">
        <v>0.1</v>
      </c>
      <c r="D98" s="1736" t="s">
        <v>564</v>
      </c>
      <c r="E98" s="985">
        <f t="shared" ref="E98:K98" si="46">SUM(E99:E101)</f>
        <v>1</v>
      </c>
      <c r="F98" s="979">
        <f t="shared" si="46"/>
        <v>0</v>
      </c>
      <c r="G98" s="980">
        <f t="shared" si="46"/>
        <v>0</v>
      </c>
      <c r="H98" s="980">
        <f t="shared" si="46"/>
        <v>0</v>
      </c>
      <c r="I98" s="980">
        <f t="shared" si="46"/>
        <v>0</v>
      </c>
      <c r="J98" s="980">
        <f t="shared" si="46"/>
        <v>0</v>
      </c>
      <c r="K98" s="981">
        <f t="shared" si="46"/>
        <v>0</v>
      </c>
      <c r="L98" s="982">
        <f t="shared" ref="L98:AF98" si="47">SUM(L99:L101)</f>
        <v>0</v>
      </c>
      <c r="M98" s="979">
        <f t="shared" si="47"/>
        <v>0</v>
      </c>
      <c r="N98" s="980">
        <f t="shared" si="47"/>
        <v>0</v>
      </c>
      <c r="O98" s="980">
        <f t="shared" si="47"/>
        <v>0</v>
      </c>
      <c r="P98" s="980">
        <f t="shared" si="47"/>
        <v>0</v>
      </c>
      <c r="Q98" s="980">
        <f t="shared" si="47"/>
        <v>0</v>
      </c>
      <c r="R98" s="983">
        <f t="shared" si="47"/>
        <v>0</v>
      </c>
      <c r="S98" s="982">
        <f t="shared" si="47"/>
        <v>0</v>
      </c>
      <c r="T98" s="984">
        <f t="shared" si="47"/>
        <v>0</v>
      </c>
      <c r="U98" s="980">
        <f t="shared" si="47"/>
        <v>0</v>
      </c>
      <c r="V98" s="980">
        <f t="shared" si="47"/>
        <v>0</v>
      </c>
      <c r="W98" s="980">
        <f t="shared" si="47"/>
        <v>0</v>
      </c>
      <c r="X98" s="980">
        <f t="shared" si="47"/>
        <v>0</v>
      </c>
      <c r="Y98" s="983">
        <f t="shared" si="47"/>
        <v>0</v>
      </c>
      <c r="Z98" s="982">
        <f t="shared" si="47"/>
        <v>0</v>
      </c>
      <c r="AA98" s="984">
        <f t="shared" si="47"/>
        <v>0</v>
      </c>
      <c r="AB98" s="980">
        <f t="shared" si="47"/>
        <v>3.1500000000000004</v>
      </c>
      <c r="AC98" s="980">
        <f t="shared" si="47"/>
        <v>6.8000000000000007</v>
      </c>
      <c r="AD98" s="980">
        <f t="shared" si="47"/>
        <v>7.8000000000000007</v>
      </c>
      <c r="AE98" s="980">
        <f t="shared" si="47"/>
        <v>8.8000000000000007</v>
      </c>
      <c r="AF98" s="983">
        <f t="shared" si="47"/>
        <v>9.8000000000000007</v>
      </c>
      <c r="AG98" s="306"/>
      <c r="AH98" s="563"/>
    </row>
    <row r="99" spans="1:34">
      <c r="A99" s="942"/>
      <c r="B99" s="897">
        <v>20601</v>
      </c>
      <c r="C99" s="1554">
        <v>0.1</v>
      </c>
      <c r="D99" s="1546" t="s">
        <v>766</v>
      </c>
      <c r="E99" s="930">
        <f>'11.2. Нови активи отч.год.'!E100</f>
        <v>1</v>
      </c>
      <c r="F99" s="898">
        <f t="shared" ref="F99:F107" si="48">($F50*$C99)/$E$6</f>
        <v>0</v>
      </c>
      <c r="G99" s="887">
        <f t="shared" ref="G99:G107" si="49">($F50*$C99)+($G50*$C99)/$E$6</f>
        <v>0</v>
      </c>
      <c r="H99" s="887">
        <f t="shared" ref="H99:H107" si="50">($F50*$C99)+($G50*$C99)+($H50*$C99)/$E$6</f>
        <v>0</v>
      </c>
      <c r="I99" s="887">
        <f t="shared" ref="I99:I107" si="51">($F50*$C99)+($G50*$C99)+($H50*$C99)+($I50*$C99)/$E$6</f>
        <v>0</v>
      </c>
      <c r="J99" s="887">
        <f t="shared" ref="J99:J107" si="52">($F50*$C99)+($G50*$C99)+($H50*$C99)+($I50*$C99)+($J50*$C99)/$E$6</f>
        <v>0</v>
      </c>
      <c r="K99" s="986">
        <f t="shared" ref="K99:K107" si="53">($F50*$C99)+($G50*$C99)+($H50*$C99)+($I50*$C99)+($J50*$C99)+($K50*$C99)/$E$6</f>
        <v>0</v>
      </c>
      <c r="L99" s="930">
        <f>'11.2. Нови активи отч.год.'!L100</f>
        <v>0</v>
      </c>
      <c r="M99" s="886">
        <f t="shared" ref="M99:M107" si="54">($M50*$C99)/$E$6</f>
        <v>0</v>
      </c>
      <c r="N99" s="887">
        <f t="shared" ref="N99:N107" si="55">($M50*$C99)+($N50*$C99)/$E$6</f>
        <v>0</v>
      </c>
      <c r="O99" s="887">
        <f t="shared" ref="O99:O107" si="56">($M50*$C99)+($N50*$C99)+($O50*$C99)/$E$6</f>
        <v>0</v>
      </c>
      <c r="P99" s="887">
        <f t="shared" ref="P99:P107" si="57">($M50*$C99)+($N50*$C99)+($O50*$C99)+($P50*$C99)/$E$6</f>
        <v>0</v>
      </c>
      <c r="Q99" s="986">
        <f t="shared" ref="Q99:Q107" si="58">($M50*$C99)+($N50*$C99)+($O50*$C99)+($P50*$C99)+($Q50*$C99)/$E$6</f>
        <v>0</v>
      </c>
      <c r="R99" s="888">
        <f t="shared" ref="R99:R107" si="59">($M50*$C99)+($N50*$C99)+($O50*$C99)+($P50*$C99)+($Q50*$C99)+($R50*$C99)/$E$6</f>
        <v>0</v>
      </c>
      <c r="S99" s="1652">
        <f>'11.2. Нови активи отч.год.'!S100</f>
        <v>0</v>
      </c>
      <c r="T99" s="933">
        <f t="shared" ref="T99:T107" si="60">($T50*$C99)/$E$6</f>
        <v>0</v>
      </c>
      <c r="U99" s="887">
        <f t="shared" ref="U99:U107" si="61">($T50*$C99)+($U50*$C99)/$E$6</f>
        <v>0</v>
      </c>
      <c r="V99" s="887">
        <f t="shared" ref="V99:V107" si="62">($T50*$C99)+($U50*$C99)+($V50*$C99)/$E$6</f>
        <v>0</v>
      </c>
      <c r="W99" s="887">
        <f t="shared" ref="W99:W107" si="63">($T50*$C99)+($U50*$C99)+($V50*$C99)+($W50*$C99)/$E$6</f>
        <v>0</v>
      </c>
      <c r="X99" s="887">
        <f t="shared" ref="X99:X107" si="64">($T50*$C99)+($U50*$C99)+($V50*$C99)+($W50*$C99)+($X50*$C99)/$E$6</f>
        <v>0</v>
      </c>
      <c r="Y99" s="986">
        <f t="shared" ref="Y99:Y107" si="65">($T50*$C99)+($U50*$C99)+($V50*$C99)+($W50*$C99)+($X50*$C99)+($Y50*$C99)/$E$6</f>
        <v>0</v>
      </c>
      <c r="Z99" s="1652">
        <f>'11.2. Нови активи отч.год.'!Z100</f>
        <v>0</v>
      </c>
      <c r="AA99" s="886">
        <f t="shared" ref="AA99:AA107" si="66">($AA50*$C99)/$E$6</f>
        <v>0</v>
      </c>
      <c r="AB99" s="887">
        <f t="shared" ref="AB99:AB107" si="67">($AA50*$C99)+($AB50*$C99)/$E$6</f>
        <v>3.1500000000000004</v>
      </c>
      <c r="AC99" s="887">
        <f t="shared" ref="AC99:AC107" si="68">($AA50*$C99)+($AB50*$C99)+($AC50*$C99)/$E$6</f>
        <v>6.8000000000000007</v>
      </c>
      <c r="AD99" s="887">
        <f t="shared" ref="AD99:AD107" si="69">($AA50*$C99)+($AB50*$C99)+($AC50*$C99)+($AD50*$C99)/$E$6</f>
        <v>7.8000000000000007</v>
      </c>
      <c r="AE99" s="887">
        <f t="shared" ref="AE99:AE107" si="70">($AA50*$C99)+($AB50*$C99)+($AC50*$C99)+($AD50*$C99)+($AE50*$C99)/$E$6</f>
        <v>8.8000000000000007</v>
      </c>
      <c r="AF99" s="888">
        <f t="shared" ref="AF99:AF107" si="71">($AA50*$C99)+($AB50*$C99)+($AC50*$C99)+($AD50*$C99)+($AE50*$C99)+($AF50*$C99)/$E$6</f>
        <v>9.8000000000000007</v>
      </c>
      <c r="AG99" s="306"/>
      <c r="AH99" s="564"/>
    </row>
    <row r="100" spans="1:34">
      <c r="A100" s="942"/>
      <c r="B100" s="897">
        <v>20602</v>
      </c>
      <c r="C100" s="1554">
        <v>0.1</v>
      </c>
      <c r="D100" s="1546" t="s">
        <v>607</v>
      </c>
      <c r="E100" s="930">
        <f>'11.2. Нови активи отч.год.'!E101</f>
        <v>0</v>
      </c>
      <c r="F100" s="898">
        <f t="shared" si="48"/>
        <v>0</v>
      </c>
      <c r="G100" s="887">
        <f t="shared" si="49"/>
        <v>0</v>
      </c>
      <c r="H100" s="887">
        <f t="shared" si="50"/>
        <v>0</v>
      </c>
      <c r="I100" s="887">
        <f t="shared" si="51"/>
        <v>0</v>
      </c>
      <c r="J100" s="887">
        <f t="shared" si="52"/>
        <v>0</v>
      </c>
      <c r="K100" s="986">
        <f t="shared" si="53"/>
        <v>0</v>
      </c>
      <c r="L100" s="930">
        <f>'11.2. Нови активи отч.год.'!L101</f>
        <v>0</v>
      </c>
      <c r="M100" s="886">
        <f t="shared" si="54"/>
        <v>0</v>
      </c>
      <c r="N100" s="887">
        <f t="shared" si="55"/>
        <v>0</v>
      </c>
      <c r="O100" s="887">
        <f t="shared" si="56"/>
        <v>0</v>
      </c>
      <c r="P100" s="887">
        <f t="shared" si="57"/>
        <v>0</v>
      </c>
      <c r="Q100" s="986">
        <f t="shared" si="58"/>
        <v>0</v>
      </c>
      <c r="R100" s="888">
        <f t="shared" si="59"/>
        <v>0</v>
      </c>
      <c r="S100" s="1652">
        <f>'11.2. Нови активи отч.год.'!S101</f>
        <v>0</v>
      </c>
      <c r="T100" s="933">
        <f t="shared" si="60"/>
        <v>0</v>
      </c>
      <c r="U100" s="887">
        <f t="shared" si="61"/>
        <v>0</v>
      </c>
      <c r="V100" s="887">
        <f t="shared" si="62"/>
        <v>0</v>
      </c>
      <c r="W100" s="887">
        <f t="shared" si="63"/>
        <v>0</v>
      </c>
      <c r="X100" s="887">
        <f t="shared" si="64"/>
        <v>0</v>
      </c>
      <c r="Y100" s="986">
        <f t="shared" si="65"/>
        <v>0</v>
      </c>
      <c r="Z100" s="1652">
        <f>'11.2. Нови активи отч.год.'!Z101</f>
        <v>0</v>
      </c>
      <c r="AA100" s="886">
        <f t="shared" si="66"/>
        <v>0</v>
      </c>
      <c r="AB100" s="887">
        <f t="shared" si="67"/>
        <v>0</v>
      </c>
      <c r="AC100" s="887">
        <f t="shared" si="68"/>
        <v>0</v>
      </c>
      <c r="AD100" s="887">
        <f t="shared" si="69"/>
        <v>0</v>
      </c>
      <c r="AE100" s="887">
        <f t="shared" si="70"/>
        <v>0</v>
      </c>
      <c r="AF100" s="888">
        <f t="shared" si="71"/>
        <v>0</v>
      </c>
      <c r="AG100" s="306"/>
      <c r="AH100" s="564"/>
    </row>
    <row r="101" spans="1:34">
      <c r="A101" s="942"/>
      <c r="B101" s="1740">
        <v>20603</v>
      </c>
      <c r="C101" s="1741">
        <v>0.5</v>
      </c>
      <c r="D101" s="1742" t="s">
        <v>1441</v>
      </c>
      <c r="E101" s="930">
        <f>'11.2. Нови активи отч.год.'!E102</f>
        <v>0</v>
      </c>
      <c r="F101" s="898">
        <f t="shared" si="48"/>
        <v>0</v>
      </c>
      <c r="G101" s="887">
        <f t="shared" si="49"/>
        <v>0</v>
      </c>
      <c r="H101" s="887">
        <f t="shared" si="50"/>
        <v>0</v>
      </c>
      <c r="I101" s="887">
        <f t="shared" si="51"/>
        <v>0</v>
      </c>
      <c r="J101" s="887">
        <f t="shared" si="52"/>
        <v>0</v>
      </c>
      <c r="K101" s="986">
        <f t="shared" si="53"/>
        <v>0</v>
      </c>
      <c r="L101" s="930">
        <f>'11.2. Нови активи отч.год.'!L102</f>
        <v>0</v>
      </c>
      <c r="M101" s="886">
        <f t="shared" si="54"/>
        <v>0</v>
      </c>
      <c r="N101" s="887">
        <f t="shared" si="55"/>
        <v>0</v>
      </c>
      <c r="O101" s="887">
        <f t="shared" si="56"/>
        <v>0</v>
      </c>
      <c r="P101" s="887">
        <f t="shared" si="57"/>
        <v>0</v>
      </c>
      <c r="Q101" s="986">
        <f t="shared" si="58"/>
        <v>0</v>
      </c>
      <c r="R101" s="888">
        <f t="shared" si="59"/>
        <v>0</v>
      </c>
      <c r="S101" s="1652">
        <f>'11.2. Нови активи отч.год.'!S102</f>
        <v>0</v>
      </c>
      <c r="T101" s="933">
        <f t="shared" si="60"/>
        <v>0</v>
      </c>
      <c r="U101" s="887">
        <f t="shared" si="61"/>
        <v>0</v>
      </c>
      <c r="V101" s="887">
        <f t="shared" si="62"/>
        <v>0</v>
      </c>
      <c r="W101" s="887">
        <f t="shared" si="63"/>
        <v>0</v>
      </c>
      <c r="X101" s="887">
        <f t="shared" si="64"/>
        <v>0</v>
      </c>
      <c r="Y101" s="986">
        <f t="shared" si="65"/>
        <v>0</v>
      </c>
      <c r="Z101" s="1652">
        <f>'11.2. Нови активи отч.год.'!Z102</f>
        <v>0</v>
      </c>
      <c r="AA101" s="886">
        <f t="shared" si="66"/>
        <v>0</v>
      </c>
      <c r="AB101" s="887">
        <f t="shared" si="67"/>
        <v>0</v>
      </c>
      <c r="AC101" s="887">
        <f t="shared" si="68"/>
        <v>0</v>
      </c>
      <c r="AD101" s="887">
        <f t="shared" si="69"/>
        <v>0</v>
      </c>
      <c r="AE101" s="887">
        <f t="shared" si="70"/>
        <v>0</v>
      </c>
      <c r="AF101" s="888">
        <f t="shared" si="71"/>
        <v>0</v>
      </c>
      <c r="AG101" s="306"/>
      <c r="AH101" s="564"/>
    </row>
    <row r="102" spans="1:34" s="261" customFormat="1">
      <c r="A102" s="942">
        <v>7</v>
      </c>
      <c r="B102" s="942">
        <v>208</v>
      </c>
      <c r="C102" s="1739">
        <v>0.2</v>
      </c>
      <c r="D102" s="1736" t="s">
        <v>585</v>
      </c>
      <c r="E102" s="926">
        <f>'11.2. Нови активи отч.год.'!E103</f>
        <v>2</v>
      </c>
      <c r="F102" s="993">
        <f t="shared" si="48"/>
        <v>0</v>
      </c>
      <c r="G102" s="994">
        <f t="shared" si="49"/>
        <v>0</v>
      </c>
      <c r="H102" s="994">
        <f t="shared" si="50"/>
        <v>0</v>
      </c>
      <c r="I102" s="994">
        <f t="shared" si="51"/>
        <v>0</v>
      </c>
      <c r="J102" s="994">
        <f t="shared" si="52"/>
        <v>0</v>
      </c>
      <c r="K102" s="995">
        <f t="shared" si="53"/>
        <v>0</v>
      </c>
      <c r="L102" s="926">
        <f>'11.2. Нови активи отч.год.'!L103</f>
        <v>0</v>
      </c>
      <c r="M102" s="993">
        <f t="shared" si="54"/>
        <v>0</v>
      </c>
      <c r="N102" s="994">
        <f t="shared" si="55"/>
        <v>0</v>
      </c>
      <c r="O102" s="994">
        <f t="shared" si="56"/>
        <v>0</v>
      </c>
      <c r="P102" s="994">
        <f t="shared" si="57"/>
        <v>0</v>
      </c>
      <c r="Q102" s="995">
        <f t="shared" si="58"/>
        <v>0</v>
      </c>
      <c r="R102" s="997">
        <f t="shared" si="59"/>
        <v>0</v>
      </c>
      <c r="S102" s="2796">
        <f>'11.2. Нови активи отч.год.'!S103</f>
        <v>0</v>
      </c>
      <c r="T102" s="996">
        <f t="shared" si="60"/>
        <v>0</v>
      </c>
      <c r="U102" s="994">
        <f t="shared" si="61"/>
        <v>0</v>
      </c>
      <c r="V102" s="994">
        <f t="shared" si="62"/>
        <v>0</v>
      </c>
      <c r="W102" s="994">
        <f t="shared" si="63"/>
        <v>0</v>
      </c>
      <c r="X102" s="994">
        <f t="shared" si="64"/>
        <v>0</v>
      </c>
      <c r="Y102" s="997">
        <f t="shared" si="65"/>
        <v>0</v>
      </c>
      <c r="Z102" s="2796">
        <f>'11.2. Нови активи отч.год.'!Z103</f>
        <v>0</v>
      </c>
      <c r="AA102" s="996">
        <f t="shared" si="66"/>
        <v>0</v>
      </c>
      <c r="AB102" s="994">
        <f t="shared" si="67"/>
        <v>0</v>
      </c>
      <c r="AC102" s="994">
        <f t="shared" si="68"/>
        <v>6</v>
      </c>
      <c r="AD102" s="994">
        <f t="shared" si="69"/>
        <v>17</v>
      </c>
      <c r="AE102" s="994">
        <f t="shared" si="70"/>
        <v>25</v>
      </c>
      <c r="AF102" s="997">
        <f t="shared" si="71"/>
        <v>31</v>
      </c>
      <c r="AG102" s="306"/>
      <c r="AH102" s="563"/>
    </row>
    <row r="103" spans="1:34" s="261" customFormat="1">
      <c r="A103" s="942">
        <v>8</v>
      </c>
      <c r="B103" s="942">
        <v>209</v>
      </c>
      <c r="C103" s="1739">
        <v>0.1</v>
      </c>
      <c r="D103" s="1736" t="s">
        <v>276</v>
      </c>
      <c r="E103" s="926">
        <f>'11.2. Нови активи отч.год.'!E104</f>
        <v>0</v>
      </c>
      <c r="F103" s="993">
        <f t="shared" si="48"/>
        <v>0</v>
      </c>
      <c r="G103" s="994">
        <f t="shared" si="49"/>
        <v>0</v>
      </c>
      <c r="H103" s="994">
        <f t="shared" si="50"/>
        <v>0</v>
      </c>
      <c r="I103" s="994">
        <f t="shared" si="51"/>
        <v>0</v>
      </c>
      <c r="J103" s="994">
        <f t="shared" si="52"/>
        <v>0</v>
      </c>
      <c r="K103" s="995">
        <f t="shared" si="53"/>
        <v>0</v>
      </c>
      <c r="L103" s="926">
        <f>'11.2. Нови активи отч.год.'!L104</f>
        <v>0</v>
      </c>
      <c r="M103" s="993">
        <f t="shared" si="54"/>
        <v>0</v>
      </c>
      <c r="N103" s="994">
        <f t="shared" si="55"/>
        <v>0</v>
      </c>
      <c r="O103" s="994">
        <f t="shared" si="56"/>
        <v>0</v>
      </c>
      <c r="P103" s="994">
        <f t="shared" si="57"/>
        <v>0</v>
      </c>
      <c r="Q103" s="995">
        <f t="shared" si="58"/>
        <v>0</v>
      </c>
      <c r="R103" s="997">
        <f t="shared" si="59"/>
        <v>0</v>
      </c>
      <c r="S103" s="2796">
        <f>'11.2. Нови активи отч.год.'!S104</f>
        <v>0</v>
      </c>
      <c r="T103" s="996">
        <f t="shared" si="60"/>
        <v>0</v>
      </c>
      <c r="U103" s="994">
        <f t="shared" si="61"/>
        <v>0</v>
      </c>
      <c r="V103" s="994">
        <f t="shared" si="62"/>
        <v>0</v>
      </c>
      <c r="W103" s="994">
        <f t="shared" si="63"/>
        <v>0</v>
      </c>
      <c r="X103" s="994">
        <f t="shared" si="64"/>
        <v>0</v>
      </c>
      <c r="Y103" s="997">
        <f t="shared" si="65"/>
        <v>0</v>
      </c>
      <c r="Z103" s="2796">
        <f>'11.2. Нови активи отч.год.'!Z104</f>
        <v>0</v>
      </c>
      <c r="AA103" s="996">
        <f t="shared" si="66"/>
        <v>0</v>
      </c>
      <c r="AB103" s="994">
        <f t="shared" si="67"/>
        <v>0</v>
      </c>
      <c r="AC103" s="994">
        <f t="shared" si="68"/>
        <v>0</v>
      </c>
      <c r="AD103" s="994">
        <f t="shared" si="69"/>
        <v>0</v>
      </c>
      <c r="AE103" s="994">
        <f t="shared" si="70"/>
        <v>0</v>
      </c>
      <c r="AF103" s="997">
        <f t="shared" si="71"/>
        <v>0</v>
      </c>
      <c r="AG103" s="306"/>
      <c r="AH103" s="563"/>
    </row>
    <row r="104" spans="1:34" s="261" customFormat="1">
      <c r="A104" s="942">
        <v>9</v>
      </c>
      <c r="B104" s="942">
        <v>212</v>
      </c>
      <c r="C104" s="1739">
        <v>0.2</v>
      </c>
      <c r="D104" s="1743" t="s">
        <v>277</v>
      </c>
      <c r="E104" s="926">
        <f>'11.2. Нови активи отч.год.'!E105</f>
        <v>3</v>
      </c>
      <c r="F104" s="993">
        <f t="shared" si="48"/>
        <v>0</v>
      </c>
      <c r="G104" s="994">
        <f t="shared" si="49"/>
        <v>0</v>
      </c>
      <c r="H104" s="994">
        <f t="shared" si="50"/>
        <v>0</v>
      </c>
      <c r="I104" s="994">
        <f t="shared" si="51"/>
        <v>0</v>
      </c>
      <c r="J104" s="994">
        <f t="shared" si="52"/>
        <v>0</v>
      </c>
      <c r="K104" s="995">
        <f t="shared" si="53"/>
        <v>0</v>
      </c>
      <c r="L104" s="926">
        <f>'11.2. Нови активи отч.год.'!L105</f>
        <v>0</v>
      </c>
      <c r="M104" s="993">
        <f t="shared" si="54"/>
        <v>0</v>
      </c>
      <c r="N104" s="994">
        <f t="shared" si="55"/>
        <v>0</v>
      </c>
      <c r="O104" s="994">
        <f t="shared" si="56"/>
        <v>0</v>
      </c>
      <c r="P104" s="994">
        <f t="shared" si="57"/>
        <v>0</v>
      </c>
      <c r="Q104" s="995">
        <f t="shared" si="58"/>
        <v>0</v>
      </c>
      <c r="R104" s="997">
        <f t="shared" si="59"/>
        <v>0</v>
      </c>
      <c r="S104" s="2796">
        <f>'11.2. Нови активи отч.год.'!S105</f>
        <v>0</v>
      </c>
      <c r="T104" s="996">
        <f t="shared" si="60"/>
        <v>0</v>
      </c>
      <c r="U104" s="994">
        <f t="shared" si="61"/>
        <v>0</v>
      </c>
      <c r="V104" s="994">
        <f t="shared" si="62"/>
        <v>0</v>
      </c>
      <c r="W104" s="994">
        <f t="shared" si="63"/>
        <v>0</v>
      </c>
      <c r="X104" s="994">
        <f t="shared" si="64"/>
        <v>0</v>
      </c>
      <c r="Y104" s="997">
        <f t="shared" si="65"/>
        <v>0</v>
      </c>
      <c r="Z104" s="2796">
        <f>'11.2. Нови активи отч.год.'!Z105</f>
        <v>0</v>
      </c>
      <c r="AA104" s="996">
        <f t="shared" si="66"/>
        <v>0</v>
      </c>
      <c r="AB104" s="994">
        <f t="shared" si="67"/>
        <v>0</v>
      </c>
      <c r="AC104" s="994">
        <f t="shared" si="68"/>
        <v>5</v>
      </c>
      <c r="AD104" s="994">
        <f t="shared" si="69"/>
        <v>10</v>
      </c>
      <c r="AE104" s="994">
        <f t="shared" si="70"/>
        <v>10</v>
      </c>
      <c r="AF104" s="997">
        <f t="shared" si="71"/>
        <v>10</v>
      </c>
      <c r="AG104" s="306"/>
      <c r="AH104" s="563"/>
    </row>
    <row r="105" spans="1:34" s="261" customFormat="1">
      <c r="A105" s="942">
        <v>10</v>
      </c>
      <c r="B105" s="942">
        <v>213</v>
      </c>
      <c r="C105" s="1739">
        <v>0.2</v>
      </c>
      <c r="D105" s="1731" t="s">
        <v>278</v>
      </c>
      <c r="E105" s="926">
        <f>'11.2. Нови активи отч.год.'!E106</f>
        <v>0</v>
      </c>
      <c r="F105" s="993">
        <f t="shared" si="48"/>
        <v>0</v>
      </c>
      <c r="G105" s="994">
        <f t="shared" si="49"/>
        <v>0</v>
      </c>
      <c r="H105" s="994">
        <f t="shared" si="50"/>
        <v>0</v>
      </c>
      <c r="I105" s="994">
        <f t="shared" si="51"/>
        <v>0</v>
      </c>
      <c r="J105" s="994">
        <f t="shared" si="52"/>
        <v>0</v>
      </c>
      <c r="K105" s="995">
        <f t="shared" si="53"/>
        <v>0</v>
      </c>
      <c r="L105" s="926">
        <f>'11.2. Нови активи отч.год.'!L106</f>
        <v>0</v>
      </c>
      <c r="M105" s="993">
        <f t="shared" si="54"/>
        <v>0</v>
      </c>
      <c r="N105" s="994">
        <f t="shared" si="55"/>
        <v>0</v>
      </c>
      <c r="O105" s="994">
        <f t="shared" si="56"/>
        <v>0</v>
      </c>
      <c r="P105" s="994">
        <f t="shared" si="57"/>
        <v>0</v>
      </c>
      <c r="Q105" s="995">
        <f t="shared" si="58"/>
        <v>0</v>
      </c>
      <c r="R105" s="997">
        <f t="shared" si="59"/>
        <v>0</v>
      </c>
      <c r="S105" s="2796">
        <f>'11.2. Нови активи отч.год.'!S106</f>
        <v>0</v>
      </c>
      <c r="T105" s="996">
        <f t="shared" si="60"/>
        <v>0</v>
      </c>
      <c r="U105" s="994">
        <f t="shared" si="61"/>
        <v>0</v>
      </c>
      <c r="V105" s="994">
        <f t="shared" si="62"/>
        <v>0</v>
      </c>
      <c r="W105" s="994">
        <f t="shared" si="63"/>
        <v>0</v>
      </c>
      <c r="X105" s="994">
        <f t="shared" si="64"/>
        <v>0</v>
      </c>
      <c r="Y105" s="997">
        <f t="shared" si="65"/>
        <v>0</v>
      </c>
      <c r="Z105" s="2796">
        <f>'11.2. Нови активи отч.год.'!Z106</f>
        <v>0</v>
      </c>
      <c r="AA105" s="996">
        <f t="shared" si="66"/>
        <v>0</v>
      </c>
      <c r="AB105" s="994">
        <f t="shared" si="67"/>
        <v>0</v>
      </c>
      <c r="AC105" s="994">
        <f t="shared" si="68"/>
        <v>0</v>
      </c>
      <c r="AD105" s="994">
        <f t="shared" si="69"/>
        <v>0</v>
      </c>
      <c r="AE105" s="994">
        <f t="shared" si="70"/>
        <v>0</v>
      </c>
      <c r="AF105" s="997">
        <f t="shared" si="71"/>
        <v>0</v>
      </c>
      <c r="AG105" s="306"/>
      <c r="AH105" s="563"/>
    </row>
    <row r="106" spans="1:34" s="261" customFormat="1" ht="24">
      <c r="A106" s="965">
        <v>11</v>
      </c>
      <c r="B106" s="964">
        <v>215</v>
      </c>
      <c r="C106" s="1739">
        <v>0.2</v>
      </c>
      <c r="D106" s="1731" t="s">
        <v>911</v>
      </c>
      <c r="E106" s="926">
        <f>'11.2. Нови активи отч.год.'!E107</f>
        <v>0</v>
      </c>
      <c r="F106" s="993">
        <f t="shared" si="48"/>
        <v>0</v>
      </c>
      <c r="G106" s="994">
        <f t="shared" si="49"/>
        <v>0</v>
      </c>
      <c r="H106" s="994">
        <f t="shared" si="50"/>
        <v>0</v>
      </c>
      <c r="I106" s="994">
        <f t="shared" si="51"/>
        <v>1</v>
      </c>
      <c r="J106" s="994">
        <f t="shared" si="52"/>
        <v>3</v>
      </c>
      <c r="K106" s="995">
        <f t="shared" si="53"/>
        <v>5</v>
      </c>
      <c r="L106" s="926">
        <f>'11.2. Нови активи отч.год.'!L107</f>
        <v>0</v>
      </c>
      <c r="M106" s="993">
        <f t="shared" si="54"/>
        <v>0</v>
      </c>
      <c r="N106" s="994">
        <f t="shared" si="55"/>
        <v>0</v>
      </c>
      <c r="O106" s="994">
        <f t="shared" si="56"/>
        <v>0</v>
      </c>
      <c r="P106" s="994">
        <f t="shared" si="57"/>
        <v>2</v>
      </c>
      <c r="Q106" s="995">
        <f t="shared" si="58"/>
        <v>6</v>
      </c>
      <c r="R106" s="997">
        <f t="shared" si="59"/>
        <v>10</v>
      </c>
      <c r="S106" s="2796">
        <f>'11.2. Нови активи отч.год.'!S107</f>
        <v>0</v>
      </c>
      <c r="T106" s="996">
        <f t="shared" si="60"/>
        <v>0</v>
      </c>
      <c r="U106" s="994">
        <f t="shared" si="61"/>
        <v>0</v>
      </c>
      <c r="V106" s="994">
        <f t="shared" si="62"/>
        <v>0</v>
      </c>
      <c r="W106" s="994">
        <f t="shared" si="63"/>
        <v>0</v>
      </c>
      <c r="X106" s="994">
        <f t="shared" si="64"/>
        <v>0</v>
      </c>
      <c r="Y106" s="997">
        <f t="shared" si="65"/>
        <v>0</v>
      </c>
      <c r="Z106" s="2796">
        <f>'11.2. Нови активи отч.год.'!Z107</f>
        <v>0</v>
      </c>
      <c r="AA106" s="996">
        <f t="shared" si="66"/>
        <v>0</v>
      </c>
      <c r="AB106" s="994">
        <f t="shared" si="67"/>
        <v>0</v>
      </c>
      <c r="AC106" s="994">
        <f t="shared" si="68"/>
        <v>11</v>
      </c>
      <c r="AD106" s="994">
        <f t="shared" si="69"/>
        <v>33</v>
      </c>
      <c r="AE106" s="994">
        <f t="shared" si="70"/>
        <v>55</v>
      </c>
      <c r="AF106" s="997">
        <f t="shared" si="71"/>
        <v>73</v>
      </c>
      <c r="AG106" s="306"/>
      <c r="AH106" s="563"/>
    </row>
    <row r="107" spans="1:34" s="261" customFormat="1" ht="13.5" thickBot="1">
      <c r="A107" s="998">
        <v>12</v>
      </c>
      <c r="B107" s="998">
        <v>219</v>
      </c>
      <c r="C107" s="1744">
        <v>0.1</v>
      </c>
      <c r="D107" s="1745" t="s">
        <v>279</v>
      </c>
      <c r="E107" s="1001">
        <f>'11.2. Нови активи отч.год.'!E108</f>
        <v>0</v>
      </c>
      <c r="F107" s="1002">
        <f t="shared" si="48"/>
        <v>0</v>
      </c>
      <c r="G107" s="1003">
        <f t="shared" si="49"/>
        <v>0</v>
      </c>
      <c r="H107" s="1003">
        <f t="shared" si="50"/>
        <v>0</v>
      </c>
      <c r="I107" s="1003">
        <f t="shared" si="51"/>
        <v>0</v>
      </c>
      <c r="J107" s="1003">
        <f t="shared" si="52"/>
        <v>0</v>
      </c>
      <c r="K107" s="1004">
        <f t="shared" si="53"/>
        <v>0</v>
      </c>
      <c r="L107" s="1001">
        <f>'11.2. Нови активи отч.год.'!L108</f>
        <v>0</v>
      </c>
      <c r="M107" s="1002">
        <f t="shared" si="54"/>
        <v>0</v>
      </c>
      <c r="N107" s="1003">
        <f t="shared" si="55"/>
        <v>0</v>
      </c>
      <c r="O107" s="1003">
        <f t="shared" si="56"/>
        <v>0</v>
      </c>
      <c r="P107" s="1003">
        <f t="shared" si="57"/>
        <v>0</v>
      </c>
      <c r="Q107" s="1004">
        <f t="shared" si="58"/>
        <v>0</v>
      </c>
      <c r="R107" s="1005">
        <f t="shared" si="59"/>
        <v>0</v>
      </c>
      <c r="S107" s="1001">
        <f>'11.2. Нови активи отч.год.'!S108</f>
        <v>0</v>
      </c>
      <c r="T107" s="1006">
        <f t="shared" si="60"/>
        <v>0</v>
      </c>
      <c r="U107" s="1003">
        <f t="shared" si="61"/>
        <v>0</v>
      </c>
      <c r="V107" s="1003">
        <f t="shared" si="62"/>
        <v>0</v>
      </c>
      <c r="W107" s="1003">
        <f t="shared" si="63"/>
        <v>0</v>
      </c>
      <c r="X107" s="1003">
        <f t="shared" si="64"/>
        <v>0</v>
      </c>
      <c r="Y107" s="1005">
        <f t="shared" si="65"/>
        <v>0</v>
      </c>
      <c r="Z107" s="1001">
        <f>'11.2. Нови активи отч.год.'!Z108</f>
        <v>0</v>
      </c>
      <c r="AA107" s="1006">
        <f t="shared" si="66"/>
        <v>0</v>
      </c>
      <c r="AB107" s="1003">
        <f t="shared" si="67"/>
        <v>0</v>
      </c>
      <c r="AC107" s="1003">
        <f t="shared" si="68"/>
        <v>0</v>
      </c>
      <c r="AD107" s="1003">
        <f t="shared" si="69"/>
        <v>0</v>
      </c>
      <c r="AE107" s="1003">
        <f t="shared" si="70"/>
        <v>0</v>
      </c>
      <c r="AF107" s="1005">
        <f t="shared" si="71"/>
        <v>0</v>
      </c>
      <c r="AG107" s="306"/>
      <c r="AH107" s="567"/>
    </row>
    <row r="108" spans="1:34" ht="13.5" thickBot="1">
      <c r="A108" s="1746"/>
      <c r="B108" s="336"/>
      <c r="C108" s="336"/>
      <c r="D108" s="336"/>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row>
    <row r="109" spans="1:34">
      <c r="A109" s="1746"/>
      <c r="B109" s="336"/>
      <c r="C109" s="336"/>
      <c r="D109" s="619" t="s">
        <v>570</v>
      </c>
      <c r="E109" s="620"/>
      <c r="F109" s="621">
        <f t="shared" ref="F109:K109" si="72">IFERROR(F59/(F$59+M$59+T$59),0)</f>
        <v>0.73573085846867747</v>
      </c>
      <c r="G109" s="622">
        <f t="shared" si="72"/>
        <v>0.60182536439177214</v>
      </c>
      <c r="H109" s="622">
        <f t="shared" si="72"/>
        <v>0.56845176078349657</v>
      </c>
      <c r="I109" s="622">
        <f t="shared" si="72"/>
        <v>0.60967943729879004</v>
      </c>
      <c r="J109" s="622">
        <f t="shared" si="72"/>
        <v>0.63277040696807718</v>
      </c>
      <c r="K109" s="623">
        <f t="shared" si="72"/>
        <v>0.64333714727732749</v>
      </c>
      <c r="L109" s="507"/>
      <c r="M109" s="337"/>
      <c r="N109" s="337"/>
      <c r="O109" s="337"/>
      <c r="P109" s="337"/>
      <c r="Q109" s="337"/>
      <c r="R109" s="337"/>
      <c r="S109" s="337"/>
      <c r="T109" s="337"/>
      <c r="U109" s="337"/>
      <c r="V109" s="337"/>
      <c r="W109" s="337"/>
      <c r="X109" s="337"/>
      <c r="Y109" s="337"/>
      <c r="Z109" s="337"/>
      <c r="AA109" s="337"/>
      <c r="AB109" s="337"/>
      <c r="AC109" s="337"/>
      <c r="AD109" s="337"/>
      <c r="AE109" s="337"/>
      <c r="AF109" s="337"/>
    </row>
    <row r="110" spans="1:34">
      <c r="A110" s="1746"/>
      <c r="B110" s="336"/>
      <c r="C110" s="336"/>
      <c r="D110" s="624" t="s">
        <v>868</v>
      </c>
      <c r="E110" s="625"/>
      <c r="F110" s="626">
        <f t="shared" ref="F110:K110" si="73">IFERROR(M59/(F$59+M$59+T$59),0)</f>
        <v>0.14593967517401391</v>
      </c>
      <c r="G110" s="627">
        <f t="shared" si="73"/>
        <v>0.31930254733687519</v>
      </c>
      <c r="H110" s="627">
        <f t="shared" si="73"/>
        <v>0.34478016253386118</v>
      </c>
      <c r="I110" s="627">
        <f t="shared" si="73"/>
        <v>0.29166475946354192</v>
      </c>
      <c r="J110" s="627">
        <f t="shared" si="73"/>
        <v>0.28485635794450243</v>
      </c>
      <c r="K110" s="628">
        <f t="shared" si="73"/>
        <v>0.28506276892333982</v>
      </c>
      <c r="L110" s="507"/>
      <c r="M110" s="337"/>
      <c r="N110" s="337"/>
      <c r="O110" s="337"/>
      <c r="P110" s="337"/>
      <c r="Q110" s="337"/>
      <c r="R110" s="337"/>
      <c r="S110" s="337"/>
      <c r="T110" s="337"/>
      <c r="U110" s="337"/>
      <c r="V110" s="337"/>
      <c r="W110" s="337"/>
      <c r="X110" s="337"/>
      <c r="Y110" s="337"/>
      <c r="Z110" s="337"/>
      <c r="AA110" s="337"/>
      <c r="AB110" s="337"/>
      <c r="AC110" s="337"/>
      <c r="AD110" s="337"/>
      <c r="AE110" s="337"/>
      <c r="AF110" s="337"/>
    </row>
    <row r="111" spans="1:34" ht="13.5" thickBot="1">
      <c r="A111" s="1746"/>
      <c r="B111" s="336"/>
      <c r="C111" s="336"/>
      <c r="D111" s="629" t="s">
        <v>571</v>
      </c>
      <c r="E111" s="630"/>
      <c r="F111" s="631">
        <f t="shared" ref="F111:K111" si="74">IFERROR(T59/(F$59+M$59+T$59),0)</f>
        <v>0.11832946635730857</v>
      </c>
      <c r="G111" s="632">
        <f t="shared" si="74"/>
        <v>7.8872088271352669E-2</v>
      </c>
      <c r="H111" s="632">
        <f t="shared" si="74"/>
        <v>8.6768076682642206E-2</v>
      </c>
      <c r="I111" s="632">
        <f t="shared" si="74"/>
        <v>9.8655803237668024E-2</v>
      </c>
      <c r="J111" s="632">
        <f t="shared" si="74"/>
        <v>8.2373235087420407E-2</v>
      </c>
      <c r="K111" s="633">
        <f t="shared" si="74"/>
        <v>7.1600083799332845E-2</v>
      </c>
      <c r="L111" s="507"/>
      <c r="M111" s="337"/>
      <c r="N111" s="337"/>
      <c r="O111" s="337"/>
      <c r="P111" s="337"/>
      <c r="Q111" s="337"/>
      <c r="R111" s="337"/>
      <c r="S111" s="337"/>
      <c r="T111" s="337"/>
      <c r="U111" s="337"/>
      <c r="V111" s="337"/>
      <c r="W111" s="337"/>
      <c r="X111" s="337"/>
      <c r="Y111" s="337"/>
      <c r="Z111" s="337"/>
      <c r="AA111" s="337"/>
      <c r="AB111" s="337"/>
      <c r="AC111" s="337"/>
      <c r="AD111" s="337"/>
      <c r="AE111" s="337"/>
      <c r="AF111" s="337"/>
    </row>
    <row r="112" spans="1:34" ht="13.5" thickBot="1">
      <c r="A112" s="1746"/>
      <c r="B112" s="336"/>
      <c r="C112" s="336"/>
      <c r="D112" s="336"/>
      <c r="E112" s="337"/>
      <c r="F112" s="634">
        <f t="shared" ref="F112:K112" si="75">SUM(F109:F111)</f>
        <v>0.99999999999999989</v>
      </c>
      <c r="G112" s="635">
        <f t="shared" si="75"/>
        <v>1</v>
      </c>
      <c r="H112" s="635">
        <f t="shared" si="75"/>
        <v>1</v>
      </c>
      <c r="I112" s="635">
        <f t="shared" si="75"/>
        <v>0.99999999999999989</v>
      </c>
      <c r="J112" s="635">
        <f t="shared" si="75"/>
        <v>1</v>
      </c>
      <c r="K112" s="636">
        <f t="shared" si="75"/>
        <v>1.0000000000000002</v>
      </c>
      <c r="L112" s="337"/>
      <c r="M112" s="337"/>
      <c r="N112" s="337"/>
      <c r="O112" s="337"/>
      <c r="P112" s="337"/>
      <c r="Q112" s="337"/>
      <c r="R112" s="337"/>
      <c r="S112" s="337"/>
      <c r="T112" s="337"/>
      <c r="U112" s="349" t="str">
        <f>'11. Амортиз. план'!P286</f>
        <v>Главен счетоводител:</v>
      </c>
      <c r="V112" s="338"/>
      <c r="W112" s="288"/>
      <c r="X112" s="218" t="s">
        <v>262</v>
      </c>
      <c r="Y112" s="198"/>
      <c r="Z112" s="216"/>
      <c r="AC112" s="337"/>
      <c r="AD112" s="337"/>
      <c r="AE112" s="337"/>
      <c r="AF112" s="337"/>
    </row>
    <row r="113" spans="1:32">
      <c r="A113" s="1746"/>
      <c r="B113" s="336"/>
      <c r="C113" s="336"/>
      <c r="D113" s="336"/>
      <c r="E113" s="337"/>
      <c r="F113" s="337"/>
      <c r="G113" s="337"/>
      <c r="H113" s="337"/>
      <c r="I113" s="337"/>
      <c r="J113" s="337"/>
      <c r="K113" s="337"/>
      <c r="L113" s="337"/>
      <c r="M113" s="337"/>
      <c r="N113" s="337"/>
      <c r="O113" s="337"/>
      <c r="P113" s="337"/>
      <c r="Q113" s="337"/>
      <c r="R113" s="337"/>
      <c r="S113" s="337"/>
      <c r="T113" s="337"/>
      <c r="V113" s="287"/>
      <c r="W113" s="219"/>
      <c r="X113" s="289"/>
      <c r="Y113" s="290" t="s">
        <v>5</v>
      </c>
      <c r="Z113" s="216"/>
      <c r="AC113" s="337"/>
      <c r="AD113" s="337"/>
      <c r="AE113" s="337"/>
      <c r="AF113" s="337"/>
    </row>
    <row r="114" spans="1:32">
      <c r="A114" s="1746"/>
      <c r="B114" s="336"/>
      <c r="C114" s="336"/>
      <c r="D114" s="336"/>
      <c r="E114" s="337"/>
      <c r="F114" s="337"/>
      <c r="G114" s="337"/>
      <c r="H114" s="337"/>
      <c r="I114" s="337"/>
      <c r="J114" s="337"/>
      <c r="K114" s="337"/>
      <c r="L114" s="337"/>
      <c r="M114" s="337"/>
      <c r="N114" s="337"/>
      <c r="O114" s="337"/>
      <c r="P114" s="337"/>
      <c r="Q114" s="337"/>
      <c r="R114" s="337"/>
      <c r="S114" s="337"/>
      <c r="T114" s="337"/>
      <c r="V114" s="287"/>
      <c r="W114" s="219"/>
      <c r="X114" s="289"/>
      <c r="Y114" s="290"/>
      <c r="Z114" s="216"/>
      <c r="AC114" s="337"/>
      <c r="AD114" s="337"/>
      <c r="AE114" s="337"/>
      <c r="AF114" s="337"/>
    </row>
    <row r="115" spans="1:32">
      <c r="C115" s="348" t="str">
        <f>'11. Амортиз. план'!C286</f>
        <v>Дата: 27.08.2018 г.</v>
      </c>
      <c r="V115" s="287"/>
      <c r="W115" s="219"/>
      <c r="X115" s="289"/>
      <c r="Y115" s="290"/>
      <c r="Z115" s="216"/>
    </row>
    <row r="116" spans="1:32">
      <c r="V116" s="287"/>
      <c r="W116" s="219"/>
      <c r="X116" s="289"/>
      <c r="Y116" s="290"/>
      <c r="Z116" s="216"/>
    </row>
    <row r="117" spans="1:32">
      <c r="B117" s="2814"/>
      <c r="C117" s="2814"/>
      <c r="D117" s="2814"/>
      <c r="V117" s="287"/>
      <c r="W117" s="219"/>
      <c r="X117" s="289"/>
      <c r="Y117" s="290"/>
      <c r="Z117" s="216"/>
    </row>
    <row r="118" spans="1:32">
      <c r="A118" s="2813" t="s">
        <v>247</v>
      </c>
      <c r="V118" s="291" t="str">
        <f>'11. Амортиз. план'!O290</f>
        <v>Управител:</v>
      </c>
      <c r="X118" s="218" t="s">
        <v>262</v>
      </c>
      <c r="Y118" s="216"/>
      <c r="Z118" s="216"/>
    </row>
    <row r="119" spans="1:32">
      <c r="A119" s="658" t="s">
        <v>767</v>
      </c>
      <c r="V119" s="287"/>
      <c r="W119" s="292"/>
      <c r="X119" s="289"/>
      <c r="Y119" s="290" t="s">
        <v>6</v>
      </c>
      <c r="Z119" s="289"/>
    </row>
    <row r="120" spans="1:32">
      <c r="A120" s="258"/>
      <c r="E120" s="2813"/>
      <c r="F120" s="2813"/>
      <c r="G120" s="175"/>
      <c r="H120" s="175"/>
      <c r="I120" s="175"/>
      <c r="J120" s="175"/>
    </row>
    <row r="121" spans="1:32">
      <c r="E121" s="2814"/>
      <c r="F121" s="2814"/>
      <c r="G121" s="175"/>
      <c r="H121" s="175"/>
      <c r="I121" s="175"/>
      <c r="J121" s="175"/>
    </row>
    <row r="122" spans="1:32">
      <c r="M122" s="260"/>
      <c r="N122" s="260"/>
      <c r="O122" s="260"/>
      <c r="P122" s="260"/>
      <c r="Q122" s="260"/>
    </row>
    <row r="123" spans="1:32">
      <c r="U123" s="338"/>
      <c r="V123" s="288"/>
      <c r="W123" s="218"/>
      <c r="X123" s="198"/>
      <c r="Y123" s="216"/>
    </row>
    <row r="124" spans="1:32">
      <c r="U124" s="287"/>
      <c r="V124" s="219"/>
      <c r="W124" s="289"/>
      <c r="X124" s="290"/>
      <c r="Y124" s="216"/>
    </row>
    <row r="125" spans="1:32">
      <c r="U125" s="287"/>
      <c r="V125" s="219"/>
      <c r="W125" s="289"/>
      <c r="X125" s="290"/>
      <c r="Y125" s="216"/>
    </row>
    <row r="126" spans="1:32">
      <c r="T126" s="349"/>
      <c r="U126" s="287"/>
      <c r="V126" s="219"/>
      <c r="W126" s="289"/>
      <c r="X126" s="290"/>
      <c r="Y126" s="216"/>
    </row>
    <row r="127" spans="1:32">
      <c r="U127" s="287"/>
      <c r="V127" s="219"/>
      <c r="W127" s="289"/>
      <c r="X127" s="290"/>
      <c r="Y127" s="216"/>
    </row>
    <row r="128" spans="1:32">
      <c r="U128" s="287"/>
      <c r="V128" s="219"/>
      <c r="W128" s="289"/>
      <c r="X128" s="290"/>
      <c r="Y128" s="216"/>
    </row>
    <row r="129" spans="21:25">
      <c r="U129" s="291"/>
      <c r="W129" s="218"/>
      <c r="X129" s="216"/>
      <c r="Y129" s="216"/>
    </row>
    <row r="130" spans="21:25">
      <c r="U130" s="287"/>
      <c r="V130" s="292"/>
      <c r="W130" s="289"/>
      <c r="X130" s="290"/>
      <c r="Y130" s="289"/>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31496062992125984" right="0.31496062992125984" top="0.94488188976377963" bottom="0.35433070866141736" header="0.31496062992125984" footer="0.31496062992125984"/>
  <pageSetup paperSize="9" scale="70" orientation="landscape" r:id="rId1"/>
  <headerFooter>
    <oddFooter>&amp;A&amp;RPage &amp;P</oddFooter>
  </headerFooter>
  <rowBreaks count="3" manualBreakCount="3">
    <brk id="39" max="33" man="1"/>
    <brk id="76" max="33" man="1"/>
    <brk id="121" max="16383" man="1"/>
  </rowBreaks>
  <colBreaks count="1" manualBreakCount="1">
    <brk id="18" max="1048575" man="1"/>
  </colBreaks>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CF6C6"/>
  </sheetPr>
  <dimension ref="A1:CB193"/>
  <sheetViews>
    <sheetView view="pageBreakPreview" zoomScale="85" zoomScaleNormal="70" zoomScaleSheetLayoutView="85" workbookViewId="0">
      <pane xSplit="4" ySplit="9" topLeftCell="L43" activePane="bottomRight" state="frozen"/>
      <selection pane="topRight" activeCell="E1" sqref="E1"/>
      <selection pane="bottomLeft" activeCell="A10" sqref="A10"/>
      <selection pane="bottomRight" activeCell="Q127" sqref="Q127"/>
    </sheetView>
  </sheetViews>
  <sheetFormatPr defaultRowHeight="12.75"/>
  <cols>
    <col min="1" max="1" width="4.42578125" style="649" customWidth="1"/>
    <col min="2" max="2" width="9.42578125" style="258" customWidth="1"/>
    <col min="3" max="3" width="7.5703125" style="258" customWidth="1"/>
    <col min="4" max="4" width="45.7109375" style="258" customWidth="1"/>
    <col min="5" max="5" width="12.7109375" style="258" customWidth="1"/>
    <col min="6" max="7" width="11.85546875" style="258" customWidth="1"/>
    <col min="8" max="8" width="12" style="258" customWidth="1"/>
    <col min="9" max="11" width="14" style="258" customWidth="1"/>
    <col min="12" max="12" width="12" style="258" customWidth="1"/>
    <col min="13" max="13" width="11.7109375" style="338" customWidth="1"/>
    <col min="14" max="14" width="11.7109375" style="537" customWidth="1"/>
    <col min="15" max="15" width="10.7109375" style="338" customWidth="1"/>
    <col min="16" max="16" width="10.28515625" style="193" customWidth="1"/>
    <col min="17" max="32" width="9.140625" style="193"/>
    <col min="33" max="33" width="10.140625" style="193" customWidth="1"/>
    <col min="34" max="16384" width="9.140625" style="193"/>
  </cols>
  <sheetData>
    <row r="1" spans="1:80" ht="13.5">
      <c r="H1" s="338"/>
      <c r="I1" s="346"/>
      <c r="K1" s="293"/>
      <c r="P1" s="338"/>
      <c r="Q1" s="347" t="s">
        <v>249</v>
      </c>
      <c r="R1" s="338"/>
      <c r="S1" s="338"/>
      <c r="T1" s="338"/>
      <c r="U1" s="338"/>
      <c r="V1" s="338"/>
      <c r="W1" s="338"/>
      <c r="X1" s="338"/>
      <c r="AA1" s="338"/>
      <c r="AB1" s="338"/>
      <c r="AC1" s="338"/>
      <c r="AD1" s="338"/>
      <c r="AE1" s="338"/>
      <c r="AF1" s="347" t="s">
        <v>249</v>
      </c>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row>
    <row r="2" spans="1:80" ht="40.5" customHeight="1">
      <c r="A2" s="3562" t="s">
        <v>1416</v>
      </c>
      <c r="B2" s="3562"/>
      <c r="C2" s="3562"/>
      <c r="D2" s="3562"/>
      <c r="E2" s="3562"/>
      <c r="F2" s="3562"/>
      <c r="G2" s="3562"/>
      <c r="H2" s="3562"/>
      <c r="I2" s="3562"/>
      <c r="J2" s="3562"/>
      <c r="K2" s="3562"/>
      <c r="L2" s="3562"/>
      <c r="M2" s="3562"/>
      <c r="N2" s="3562"/>
      <c r="O2" s="3562"/>
      <c r="P2" s="3562"/>
      <c r="Q2" s="3562"/>
      <c r="R2" s="3562"/>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row>
    <row r="3" spans="1:80" ht="18.75">
      <c r="A3" s="3562" t="str">
        <f>'Приложение '!G12</f>
        <v>2015 г.</v>
      </c>
      <c r="B3" s="3562"/>
      <c r="C3" s="3562"/>
      <c r="D3" s="3562"/>
      <c r="E3" s="3562"/>
      <c r="F3" s="3562"/>
      <c r="G3" s="3562"/>
      <c r="H3" s="3562"/>
      <c r="I3" s="3562"/>
      <c r="J3" s="3562"/>
      <c r="K3" s="3562"/>
      <c r="L3" s="3562"/>
      <c r="M3" s="3562"/>
      <c r="N3" s="3562"/>
      <c r="O3" s="3562"/>
      <c r="P3" s="3562"/>
      <c r="Q3" s="3562"/>
      <c r="R3" s="3562"/>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row>
    <row r="4" spans="1:80" ht="15.75">
      <c r="A4" s="3569" t="str">
        <f>'1. Анкетна карта'!A3:J3</f>
        <v>на "Водоснабдяване и канализация" ЕООД , гр. Благоевград</v>
      </c>
      <c r="B4" s="3569"/>
      <c r="C4" s="3569"/>
      <c r="D4" s="3569"/>
      <c r="E4" s="3569"/>
      <c r="F4" s="3569"/>
      <c r="G4" s="3569"/>
      <c r="H4" s="3569"/>
      <c r="I4" s="3569"/>
      <c r="J4" s="3569"/>
      <c r="K4" s="3569"/>
      <c r="L4" s="3569"/>
      <c r="M4" s="3569"/>
      <c r="N4" s="3569"/>
      <c r="O4" s="3569"/>
      <c r="P4" s="3569"/>
      <c r="Q4" s="3569"/>
      <c r="R4" s="3569"/>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row>
    <row r="5" spans="1:80" ht="15.75">
      <c r="A5" s="3569" t="str">
        <f>'1. Анкетна карта'!A4:J4</f>
        <v>ЕИК по БУЛСТАТ: 811047831</v>
      </c>
      <c r="B5" s="3569"/>
      <c r="C5" s="3569"/>
      <c r="D5" s="3569"/>
      <c r="E5" s="3569"/>
      <c r="F5" s="3569"/>
      <c r="G5" s="3569"/>
      <c r="H5" s="3569"/>
      <c r="I5" s="3569"/>
      <c r="J5" s="3569"/>
      <c r="K5" s="3569"/>
      <c r="L5" s="3569"/>
      <c r="M5" s="3569"/>
      <c r="N5" s="3569"/>
      <c r="O5" s="3569"/>
      <c r="P5" s="3569"/>
      <c r="Q5" s="3569"/>
      <c r="R5" s="3569"/>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row>
    <row r="6" spans="1:80" ht="15.75">
      <c r="A6" s="1532"/>
      <c r="B6" s="529"/>
      <c r="C6" s="529"/>
      <c r="D6" s="529"/>
      <c r="E6" s="529"/>
      <c r="F6" s="529"/>
      <c r="G6" s="529"/>
      <c r="H6" s="529"/>
      <c r="I6" s="529"/>
      <c r="J6" s="529"/>
      <c r="K6" s="529"/>
      <c r="L6" s="529"/>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row>
    <row r="7" spans="1:80" ht="16.5" thickBot="1">
      <c r="A7" s="1532"/>
      <c r="B7" s="529"/>
      <c r="C7" s="529"/>
      <c r="D7" s="529"/>
      <c r="E7" s="529"/>
      <c r="F7" s="529"/>
      <c r="G7" s="529"/>
      <c r="H7" s="529"/>
      <c r="I7" s="529"/>
      <c r="J7" s="529"/>
      <c r="K7" s="529"/>
      <c r="L7" s="529"/>
      <c r="P7" s="338"/>
      <c r="Q7" s="338"/>
      <c r="R7" s="338"/>
      <c r="S7" s="338"/>
      <c r="T7" s="338"/>
      <c r="U7" s="338"/>
      <c r="V7" s="338"/>
      <c r="W7" s="338"/>
      <c r="X7" s="338"/>
      <c r="Y7" s="338"/>
      <c r="Z7" s="338"/>
      <c r="AA7" s="338"/>
      <c r="AB7" s="338"/>
      <c r="AC7" s="338"/>
      <c r="AD7" s="338"/>
      <c r="AE7" s="338"/>
      <c r="AF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row>
    <row r="8" spans="1:80" s="338" customFormat="1" ht="18" customHeight="1" thickBot="1">
      <c r="A8" s="3579" t="s">
        <v>1</v>
      </c>
      <c r="B8" s="3567" t="s">
        <v>1489</v>
      </c>
      <c r="C8" s="3567" t="s">
        <v>1488</v>
      </c>
      <c r="D8" s="3579" t="s">
        <v>95</v>
      </c>
      <c r="E8" s="3579" t="s">
        <v>273</v>
      </c>
      <c r="F8" s="3583"/>
      <c r="G8" s="3583"/>
      <c r="H8" s="3583"/>
      <c r="I8" s="3583"/>
      <c r="J8" s="3583"/>
      <c r="K8" s="3583"/>
      <c r="L8" s="3579" t="s">
        <v>230</v>
      </c>
      <c r="M8" s="3583"/>
      <c r="N8" s="3583"/>
      <c r="O8" s="3583"/>
      <c r="P8" s="3583"/>
      <c r="Q8" s="3583"/>
      <c r="R8" s="3584"/>
      <c r="S8" s="3579" t="s">
        <v>241</v>
      </c>
      <c r="T8" s="3583"/>
      <c r="U8" s="3583"/>
      <c r="V8" s="3583"/>
      <c r="W8" s="3583"/>
      <c r="X8" s="3583"/>
      <c r="Y8" s="3584"/>
      <c r="Z8" s="3576" t="s">
        <v>894</v>
      </c>
      <c r="AA8" s="3577"/>
      <c r="AB8" s="3577"/>
      <c r="AC8" s="3577"/>
      <c r="AD8" s="3577"/>
      <c r="AE8" s="3577"/>
      <c r="AF8" s="3578"/>
    </row>
    <row r="9" spans="1:80" s="338" customFormat="1" ht="22.5" customHeight="1" thickBot="1">
      <c r="A9" s="3580"/>
      <c r="B9" s="3568"/>
      <c r="C9" s="3568"/>
      <c r="D9" s="3580"/>
      <c r="E9" s="1163" t="str">
        <f>'Приложение '!G12</f>
        <v>2015 г.</v>
      </c>
      <c r="F9" s="1164" t="str">
        <f>'Приложение '!G13</f>
        <v>2016 г.</v>
      </c>
      <c r="G9" s="1165" t="str">
        <f>'Приложение '!G14</f>
        <v>2017 г.</v>
      </c>
      <c r="H9" s="1165" t="str">
        <f>'Приложение '!G15</f>
        <v>2018 г.</v>
      </c>
      <c r="I9" s="1165" t="str">
        <f>'Приложение '!G16</f>
        <v>2019 г.</v>
      </c>
      <c r="J9" s="1165" t="str">
        <f>'Приложение '!G17</f>
        <v>2020 г.</v>
      </c>
      <c r="K9" s="1956" t="str">
        <f>'Приложение '!G18</f>
        <v>2021 г.</v>
      </c>
      <c r="L9" s="1167" t="str">
        <f t="shared" ref="L9:AF9" si="0">E9</f>
        <v>2015 г.</v>
      </c>
      <c r="M9" s="1168" t="str">
        <f t="shared" si="0"/>
        <v>2016 г.</v>
      </c>
      <c r="N9" s="1165" t="str">
        <f t="shared" si="0"/>
        <v>2017 г.</v>
      </c>
      <c r="O9" s="1165" t="str">
        <f t="shared" si="0"/>
        <v>2018 г.</v>
      </c>
      <c r="P9" s="1165" t="str">
        <f t="shared" si="0"/>
        <v>2019 г.</v>
      </c>
      <c r="Q9" s="1165" t="str">
        <f t="shared" si="0"/>
        <v>2020 г.</v>
      </c>
      <c r="R9" s="1956" t="str">
        <f t="shared" si="0"/>
        <v>2021 г.</v>
      </c>
      <c r="S9" s="1167" t="str">
        <f t="shared" si="0"/>
        <v>2015 г.</v>
      </c>
      <c r="T9" s="1168" t="str">
        <f t="shared" si="0"/>
        <v>2016 г.</v>
      </c>
      <c r="U9" s="1165" t="str">
        <f t="shared" si="0"/>
        <v>2017 г.</v>
      </c>
      <c r="V9" s="1165" t="str">
        <f t="shared" si="0"/>
        <v>2018 г.</v>
      </c>
      <c r="W9" s="1165" t="str">
        <f t="shared" si="0"/>
        <v>2019 г.</v>
      </c>
      <c r="X9" s="1165" t="str">
        <f t="shared" si="0"/>
        <v>2020 г.</v>
      </c>
      <c r="Y9" s="1166" t="str">
        <f t="shared" si="0"/>
        <v>2021 г.</v>
      </c>
      <c r="Z9" s="1167" t="str">
        <f t="shared" si="0"/>
        <v>2015 г.</v>
      </c>
      <c r="AA9" s="1168" t="str">
        <f t="shared" si="0"/>
        <v>2016 г.</v>
      </c>
      <c r="AB9" s="1165" t="str">
        <f t="shared" si="0"/>
        <v>2017 г.</v>
      </c>
      <c r="AC9" s="1165" t="str">
        <f t="shared" si="0"/>
        <v>2018 г.</v>
      </c>
      <c r="AD9" s="1165" t="str">
        <f t="shared" si="0"/>
        <v>2019 г.</v>
      </c>
      <c r="AE9" s="1165" t="str">
        <f t="shared" si="0"/>
        <v>2020 г.</v>
      </c>
      <c r="AF9" s="1166" t="str">
        <f t="shared" si="0"/>
        <v>2021 г.</v>
      </c>
    </row>
    <row r="10" spans="1:80" s="261" customFormat="1" ht="39" thickBot="1">
      <c r="A10" s="244" t="s">
        <v>1529</v>
      </c>
      <c r="B10" s="244"/>
      <c r="C10" s="244"/>
      <c r="D10" s="2119" t="s">
        <v>1530</v>
      </c>
      <c r="E10" s="1954"/>
      <c r="F10" s="1954"/>
      <c r="G10" s="1954"/>
      <c r="H10" s="1954"/>
      <c r="I10" s="1954"/>
      <c r="J10" s="1954"/>
      <c r="K10" s="1954"/>
      <c r="L10" s="2119"/>
      <c r="M10" s="1954"/>
      <c r="N10" s="1954"/>
      <c r="O10" s="1954"/>
      <c r="P10" s="1954"/>
      <c r="Q10" s="1954"/>
      <c r="R10" s="1954"/>
      <c r="S10" s="2119"/>
      <c r="T10" s="1954"/>
      <c r="U10" s="1954"/>
      <c r="V10" s="1954"/>
      <c r="W10" s="1954"/>
      <c r="X10" s="1954"/>
      <c r="Y10" s="1955"/>
      <c r="Z10" s="2119"/>
      <c r="AA10" s="1954"/>
      <c r="AB10" s="1954"/>
      <c r="AC10" s="1954"/>
      <c r="AD10" s="1954"/>
      <c r="AE10" s="1954"/>
      <c r="AF10" s="1955"/>
      <c r="AG10" s="306"/>
    </row>
    <row r="11" spans="1:80" s="293" customFormat="1" ht="14.25" customHeight="1" thickBot="1">
      <c r="A11" s="2904" t="s">
        <v>268</v>
      </c>
      <c r="B11" s="2905"/>
      <c r="C11" s="2905"/>
      <c r="D11" s="2905" t="s">
        <v>483</v>
      </c>
      <c r="E11" s="652">
        <f t="shared" ref="E11:AF11" si="1">E12+E15+E18+E30+E45+E50+SUM(E54:E59)</f>
        <v>1494</v>
      </c>
      <c r="F11" s="251">
        <f t="shared" si="1"/>
        <v>150</v>
      </c>
      <c r="G11" s="249">
        <f t="shared" si="1"/>
        <v>0</v>
      </c>
      <c r="H11" s="249">
        <f t="shared" si="1"/>
        <v>40</v>
      </c>
      <c r="I11" s="249">
        <f t="shared" si="1"/>
        <v>265</v>
      </c>
      <c r="J11" s="249">
        <f t="shared" si="1"/>
        <v>150</v>
      </c>
      <c r="K11" s="1961">
        <f t="shared" si="1"/>
        <v>15</v>
      </c>
      <c r="L11" s="340">
        <f t="shared" si="1"/>
        <v>31</v>
      </c>
      <c r="M11" s="251">
        <f t="shared" si="1"/>
        <v>0</v>
      </c>
      <c r="N11" s="249">
        <f t="shared" si="1"/>
        <v>0</v>
      </c>
      <c r="O11" s="249">
        <f t="shared" si="1"/>
        <v>40</v>
      </c>
      <c r="P11" s="249">
        <f t="shared" si="1"/>
        <v>35</v>
      </c>
      <c r="Q11" s="249">
        <f t="shared" si="1"/>
        <v>65</v>
      </c>
      <c r="R11" s="1961">
        <f t="shared" si="1"/>
        <v>245</v>
      </c>
      <c r="S11" s="340">
        <f t="shared" si="1"/>
        <v>0</v>
      </c>
      <c r="T11" s="251">
        <f t="shared" si="1"/>
        <v>0</v>
      </c>
      <c r="U11" s="249">
        <f t="shared" si="1"/>
        <v>0</v>
      </c>
      <c r="V11" s="249">
        <f t="shared" si="1"/>
        <v>0</v>
      </c>
      <c r="W11" s="249">
        <f t="shared" si="1"/>
        <v>0</v>
      </c>
      <c r="X11" s="249">
        <f t="shared" si="1"/>
        <v>5</v>
      </c>
      <c r="Y11" s="250">
        <f t="shared" si="1"/>
        <v>10</v>
      </c>
      <c r="Z11" s="340">
        <f t="shared" si="1"/>
        <v>0</v>
      </c>
      <c r="AA11" s="251">
        <f t="shared" si="1"/>
        <v>0</v>
      </c>
      <c r="AB11" s="249">
        <f t="shared" si="1"/>
        <v>0</v>
      </c>
      <c r="AC11" s="249">
        <f t="shared" si="1"/>
        <v>0</v>
      </c>
      <c r="AD11" s="249">
        <f t="shared" si="1"/>
        <v>0</v>
      </c>
      <c r="AE11" s="249">
        <f t="shared" si="1"/>
        <v>0</v>
      </c>
      <c r="AF11" s="250">
        <f t="shared" si="1"/>
        <v>0</v>
      </c>
      <c r="AG11" s="2906"/>
      <c r="AH11" s="306"/>
    </row>
    <row r="12" spans="1:80" s="261" customFormat="1">
      <c r="A12" s="299">
        <v>1</v>
      </c>
      <c r="B12" s="299">
        <v>201</v>
      </c>
      <c r="C12" s="300">
        <v>0</v>
      </c>
      <c r="D12" s="2329" t="s">
        <v>280</v>
      </c>
      <c r="E12" s="2327">
        <f t="shared" ref="E12:Z12" si="2">SUM(E13:E14)</f>
        <v>345</v>
      </c>
      <c r="F12" s="2328">
        <f t="shared" si="2"/>
        <v>0</v>
      </c>
      <c r="G12" s="2325">
        <f t="shared" si="2"/>
        <v>0</v>
      </c>
      <c r="H12" s="2325">
        <f t="shared" si="2"/>
        <v>0</v>
      </c>
      <c r="I12" s="2325">
        <f t="shared" si="2"/>
        <v>0</v>
      </c>
      <c r="J12" s="2325">
        <f t="shared" si="2"/>
        <v>0</v>
      </c>
      <c r="K12" s="2326">
        <f t="shared" si="2"/>
        <v>0</v>
      </c>
      <c r="L12" s="2327">
        <f t="shared" si="2"/>
        <v>11</v>
      </c>
      <c r="M12" s="2328">
        <f t="shared" si="2"/>
        <v>0</v>
      </c>
      <c r="N12" s="2325">
        <f t="shared" si="2"/>
        <v>0</v>
      </c>
      <c r="O12" s="2325">
        <f t="shared" si="2"/>
        <v>0</v>
      </c>
      <c r="P12" s="2325">
        <f t="shared" si="2"/>
        <v>0</v>
      </c>
      <c r="Q12" s="2325">
        <f t="shared" si="2"/>
        <v>0</v>
      </c>
      <c r="R12" s="2326">
        <f t="shared" si="2"/>
        <v>0</v>
      </c>
      <c r="S12" s="2327">
        <f t="shared" si="2"/>
        <v>0</v>
      </c>
      <c r="T12" s="2328">
        <f t="shared" si="2"/>
        <v>0</v>
      </c>
      <c r="U12" s="2325">
        <f t="shared" si="2"/>
        <v>0</v>
      </c>
      <c r="V12" s="2325">
        <f t="shared" si="2"/>
        <v>0</v>
      </c>
      <c r="W12" s="2325">
        <f t="shared" si="2"/>
        <v>0</v>
      </c>
      <c r="X12" s="2325">
        <f t="shared" si="2"/>
        <v>0</v>
      </c>
      <c r="Y12" s="2922">
        <f t="shared" si="2"/>
        <v>0</v>
      </c>
      <c r="Z12" s="2327">
        <f t="shared" si="2"/>
        <v>0</v>
      </c>
      <c r="AA12" s="2961"/>
      <c r="AB12" s="2972"/>
      <c r="AC12" s="2972"/>
      <c r="AD12" s="2972"/>
      <c r="AE12" s="2972"/>
      <c r="AF12" s="2973"/>
      <c r="AG12" s="305"/>
    </row>
    <row r="13" spans="1:80" s="293" customFormat="1">
      <c r="A13" s="262"/>
      <c r="B13" s="1748">
        <v>20101</v>
      </c>
      <c r="C13" s="1749">
        <v>0</v>
      </c>
      <c r="D13" s="2324" t="s">
        <v>758</v>
      </c>
      <c r="E13" s="2169">
        <v>345</v>
      </c>
      <c r="F13" s="794"/>
      <c r="G13" s="781"/>
      <c r="H13" s="781"/>
      <c r="I13" s="781"/>
      <c r="J13" s="781"/>
      <c r="K13" s="2342"/>
      <c r="L13" s="2169">
        <v>11</v>
      </c>
      <c r="M13" s="794"/>
      <c r="N13" s="781"/>
      <c r="O13" s="781"/>
      <c r="P13" s="781"/>
      <c r="Q13" s="781"/>
      <c r="R13" s="2342"/>
      <c r="S13" s="2169"/>
      <c r="T13" s="794"/>
      <c r="U13" s="781"/>
      <c r="V13" s="781"/>
      <c r="W13" s="781"/>
      <c r="X13" s="781"/>
      <c r="Y13" s="790"/>
      <c r="Z13" s="2169"/>
      <c r="AA13" s="2960"/>
      <c r="AB13" s="2974"/>
      <c r="AC13" s="2974"/>
      <c r="AD13" s="2974"/>
      <c r="AE13" s="2974"/>
      <c r="AF13" s="2975"/>
      <c r="AG13" s="510"/>
    </row>
    <row r="14" spans="1:80" s="293" customFormat="1">
      <c r="A14" s="262"/>
      <c r="B14" s="1748">
        <v>20102</v>
      </c>
      <c r="C14" s="1749">
        <v>0</v>
      </c>
      <c r="D14" s="2330" t="s">
        <v>760</v>
      </c>
      <c r="E14" s="2169"/>
      <c r="F14" s="794"/>
      <c r="G14" s="781"/>
      <c r="H14" s="781"/>
      <c r="I14" s="781"/>
      <c r="J14" s="781"/>
      <c r="K14" s="2342"/>
      <c r="L14" s="2169"/>
      <c r="M14" s="794"/>
      <c r="N14" s="781"/>
      <c r="O14" s="781"/>
      <c r="P14" s="781"/>
      <c r="Q14" s="781"/>
      <c r="R14" s="2342"/>
      <c r="S14" s="2169"/>
      <c r="T14" s="794"/>
      <c r="U14" s="781"/>
      <c r="V14" s="781"/>
      <c r="W14" s="781"/>
      <c r="X14" s="781"/>
      <c r="Y14" s="790"/>
      <c r="Z14" s="2169"/>
      <c r="AA14" s="2960"/>
      <c r="AB14" s="2974"/>
      <c r="AC14" s="2974"/>
      <c r="AD14" s="2974"/>
      <c r="AE14" s="2974"/>
      <c r="AF14" s="2975"/>
      <c r="AG14" s="306"/>
    </row>
    <row r="15" spans="1:80" s="261" customFormat="1">
      <c r="A15" s="307">
        <v>2</v>
      </c>
      <c r="B15" s="1751">
        <v>202</v>
      </c>
      <c r="C15" s="1752">
        <v>0.03</v>
      </c>
      <c r="D15" s="2331" t="s">
        <v>576</v>
      </c>
      <c r="E15" s="341">
        <f>SUM(E16:E17)</f>
        <v>28</v>
      </c>
      <c r="F15" s="313">
        <f>SUM(F16:F17)</f>
        <v>0</v>
      </c>
      <c r="G15" s="311">
        <f t="shared" ref="G15:Z15" si="3">SUM(G16:G17)</f>
        <v>0</v>
      </c>
      <c r="H15" s="311">
        <f t="shared" si="3"/>
        <v>0</v>
      </c>
      <c r="I15" s="311">
        <f t="shared" si="3"/>
        <v>0</v>
      </c>
      <c r="J15" s="311">
        <f t="shared" si="3"/>
        <v>0</v>
      </c>
      <c r="K15" s="1958">
        <f t="shared" si="3"/>
        <v>0</v>
      </c>
      <c r="L15" s="341">
        <f t="shared" si="3"/>
        <v>1</v>
      </c>
      <c r="M15" s="313">
        <f t="shared" si="3"/>
        <v>0</v>
      </c>
      <c r="N15" s="311">
        <f t="shared" si="3"/>
        <v>0</v>
      </c>
      <c r="O15" s="311">
        <f t="shared" si="3"/>
        <v>0</v>
      </c>
      <c r="P15" s="311">
        <f t="shared" si="3"/>
        <v>0</v>
      </c>
      <c r="Q15" s="311">
        <f t="shared" si="3"/>
        <v>0</v>
      </c>
      <c r="R15" s="1958">
        <f t="shared" si="3"/>
        <v>0</v>
      </c>
      <c r="S15" s="341">
        <f t="shared" si="3"/>
        <v>0</v>
      </c>
      <c r="T15" s="313">
        <f t="shared" si="3"/>
        <v>0</v>
      </c>
      <c r="U15" s="311">
        <f t="shared" si="3"/>
        <v>0</v>
      </c>
      <c r="V15" s="311">
        <f t="shared" si="3"/>
        <v>0</v>
      </c>
      <c r="W15" s="311">
        <f t="shared" si="3"/>
        <v>0</v>
      </c>
      <c r="X15" s="311">
        <f t="shared" si="3"/>
        <v>0</v>
      </c>
      <c r="Y15" s="312">
        <f t="shared" si="3"/>
        <v>0</v>
      </c>
      <c r="Z15" s="341">
        <f t="shared" si="3"/>
        <v>0</v>
      </c>
      <c r="AA15" s="2960"/>
      <c r="AB15" s="2974"/>
      <c r="AC15" s="2974"/>
      <c r="AD15" s="2974"/>
      <c r="AE15" s="2974"/>
      <c r="AF15" s="2975"/>
    </row>
    <row r="16" spans="1:80" s="338" customFormat="1">
      <c r="A16" s="265"/>
      <c r="B16" s="1753">
        <v>20201</v>
      </c>
      <c r="C16" s="1754">
        <v>0.03</v>
      </c>
      <c r="D16" s="2332" t="s">
        <v>597</v>
      </c>
      <c r="E16" s="2169">
        <v>28</v>
      </c>
      <c r="F16" s="794"/>
      <c r="G16" s="781"/>
      <c r="H16" s="781"/>
      <c r="I16" s="781"/>
      <c r="J16" s="781"/>
      <c r="K16" s="2342"/>
      <c r="L16" s="2169">
        <v>1</v>
      </c>
      <c r="M16" s="794"/>
      <c r="N16" s="781"/>
      <c r="O16" s="781"/>
      <c r="P16" s="781"/>
      <c r="Q16" s="781"/>
      <c r="R16" s="2342"/>
      <c r="S16" s="2169"/>
      <c r="T16" s="794"/>
      <c r="U16" s="781"/>
      <c r="V16" s="781"/>
      <c r="W16" s="781"/>
      <c r="X16" s="781"/>
      <c r="Y16" s="790"/>
      <c r="Z16" s="2169"/>
      <c r="AA16" s="2960"/>
      <c r="AB16" s="2974"/>
      <c r="AC16" s="2974"/>
      <c r="AD16" s="2974"/>
      <c r="AE16" s="2974"/>
      <c r="AF16" s="2975"/>
      <c r="AG16" s="306"/>
    </row>
    <row r="17" spans="1:33" s="338" customFormat="1">
      <c r="A17" s="265"/>
      <c r="B17" s="1753">
        <v>20202</v>
      </c>
      <c r="C17" s="1754">
        <v>0.03</v>
      </c>
      <c r="D17" s="2332" t="s">
        <v>598</v>
      </c>
      <c r="E17" s="2169"/>
      <c r="F17" s="794"/>
      <c r="G17" s="781"/>
      <c r="H17" s="781"/>
      <c r="I17" s="781"/>
      <c r="J17" s="781"/>
      <c r="K17" s="2342"/>
      <c r="L17" s="2169"/>
      <c r="M17" s="794"/>
      <c r="N17" s="781"/>
      <c r="O17" s="781"/>
      <c r="P17" s="781"/>
      <c r="Q17" s="781"/>
      <c r="R17" s="2342"/>
      <c r="S17" s="2169"/>
      <c r="T17" s="794"/>
      <c r="U17" s="781"/>
      <c r="V17" s="781"/>
      <c r="W17" s="781"/>
      <c r="X17" s="781"/>
      <c r="Y17" s="790"/>
      <c r="Z17" s="2169"/>
      <c r="AA17" s="2960"/>
      <c r="AB17" s="2974"/>
      <c r="AC17" s="2974"/>
      <c r="AD17" s="2974"/>
      <c r="AE17" s="2974"/>
      <c r="AF17" s="2975"/>
      <c r="AG17" s="306"/>
    </row>
    <row r="18" spans="1:33" s="316" customFormat="1" ht="12.75" customHeight="1">
      <c r="A18" s="314">
        <v>3</v>
      </c>
      <c r="B18" s="1751">
        <v>203</v>
      </c>
      <c r="C18" s="1752"/>
      <c r="D18" s="2333" t="s">
        <v>577</v>
      </c>
      <c r="E18" s="341">
        <f t="shared" ref="E18:Z18" si="4">SUM(E19:E29)-E22-E25</f>
        <v>464</v>
      </c>
      <c r="F18" s="313">
        <f t="shared" si="4"/>
        <v>0</v>
      </c>
      <c r="G18" s="311">
        <f>SUM(G19:G29)-G22-G25</f>
        <v>0</v>
      </c>
      <c r="H18" s="311">
        <f t="shared" si="4"/>
        <v>0</v>
      </c>
      <c r="I18" s="311">
        <f t="shared" si="4"/>
        <v>0</v>
      </c>
      <c r="J18" s="311">
        <f t="shared" si="4"/>
        <v>0</v>
      </c>
      <c r="K18" s="1958">
        <f t="shared" si="4"/>
        <v>10</v>
      </c>
      <c r="L18" s="341">
        <f t="shared" si="4"/>
        <v>1</v>
      </c>
      <c r="M18" s="313">
        <f t="shared" si="4"/>
        <v>0</v>
      </c>
      <c r="N18" s="311">
        <f t="shared" si="4"/>
        <v>0</v>
      </c>
      <c r="O18" s="311">
        <f t="shared" si="4"/>
        <v>40</v>
      </c>
      <c r="P18" s="311">
        <f t="shared" si="4"/>
        <v>10</v>
      </c>
      <c r="Q18" s="311">
        <f t="shared" si="4"/>
        <v>0</v>
      </c>
      <c r="R18" s="1958">
        <f t="shared" si="4"/>
        <v>0</v>
      </c>
      <c r="S18" s="341">
        <f t="shared" si="4"/>
        <v>0</v>
      </c>
      <c r="T18" s="313">
        <f t="shared" si="4"/>
        <v>0</v>
      </c>
      <c r="U18" s="311">
        <f t="shared" si="4"/>
        <v>0</v>
      </c>
      <c r="V18" s="311">
        <f t="shared" si="4"/>
        <v>0</v>
      </c>
      <c r="W18" s="311">
        <f t="shared" si="4"/>
        <v>0</v>
      </c>
      <c r="X18" s="311">
        <f t="shared" si="4"/>
        <v>5</v>
      </c>
      <c r="Y18" s="312">
        <f t="shared" si="4"/>
        <v>10</v>
      </c>
      <c r="Z18" s="341">
        <f t="shared" si="4"/>
        <v>0</v>
      </c>
      <c r="AA18" s="2960"/>
      <c r="AB18" s="2974"/>
      <c r="AC18" s="2974"/>
      <c r="AD18" s="2974"/>
      <c r="AE18" s="2974"/>
      <c r="AF18" s="2975"/>
    </row>
    <row r="19" spans="1:33" s="338" customFormat="1">
      <c r="A19" s="265"/>
      <c r="B19" s="1753">
        <v>20301</v>
      </c>
      <c r="C19" s="1754">
        <v>0.1</v>
      </c>
      <c r="D19" s="2334" t="s">
        <v>599</v>
      </c>
      <c r="E19" s="2169">
        <v>32</v>
      </c>
      <c r="F19" s="794"/>
      <c r="G19" s="781"/>
      <c r="H19" s="781"/>
      <c r="I19" s="781"/>
      <c r="J19" s="781"/>
      <c r="K19" s="2342">
        <v>10</v>
      </c>
      <c r="L19" s="2169">
        <v>1</v>
      </c>
      <c r="M19" s="794"/>
      <c r="N19" s="781"/>
      <c r="O19" s="781"/>
      <c r="P19" s="781"/>
      <c r="Q19" s="781"/>
      <c r="R19" s="2342"/>
      <c r="S19" s="2169"/>
      <c r="T19" s="794"/>
      <c r="U19" s="781"/>
      <c r="V19" s="781"/>
      <c r="W19" s="781"/>
      <c r="X19" s="781"/>
      <c r="Y19" s="790">
        <v>10</v>
      </c>
      <c r="Z19" s="2169"/>
      <c r="AA19" s="2960"/>
      <c r="AB19" s="2974"/>
      <c r="AC19" s="2974"/>
      <c r="AD19" s="2974"/>
      <c r="AE19" s="2974"/>
      <c r="AF19" s="2975"/>
      <c r="AG19" s="306"/>
    </row>
    <row r="20" spans="1:33" s="338" customFormat="1">
      <c r="A20" s="265"/>
      <c r="B20" s="1753">
        <v>20302</v>
      </c>
      <c r="C20" s="1754">
        <v>0.1</v>
      </c>
      <c r="D20" s="2334" t="s">
        <v>600</v>
      </c>
      <c r="E20" s="2169"/>
      <c r="F20" s="794"/>
      <c r="G20" s="781"/>
      <c r="H20" s="781"/>
      <c r="I20" s="781"/>
      <c r="J20" s="781"/>
      <c r="K20" s="2342"/>
      <c r="L20" s="2169"/>
      <c r="M20" s="794"/>
      <c r="N20" s="781"/>
      <c r="O20" s="781">
        <v>40</v>
      </c>
      <c r="P20" s="781">
        <v>10</v>
      </c>
      <c r="Q20" s="781"/>
      <c r="R20" s="2342"/>
      <c r="S20" s="2169"/>
      <c r="T20" s="794"/>
      <c r="U20" s="781"/>
      <c r="V20" s="781"/>
      <c r="W20" s="781"/>
      <c r="X20" s="781"/>
      <c r="Y20" s="790"/>
      <c r="Z20" s="2169"/>
      <c r="AA20" s="2960"/>
      <c r="AB20" s="2974"/>
      <c r="AC20" s="2974"/>
      <c r="AD20" s="2974"/>
      <c r="AE20" s="2974"/>
      <c r="AF20" s="2975"/>
      <c r="AG20" s="306"/>
    </row>
    <row r="21" spans="1:33" s="338" customFormat="1">
      <c r="A21" s="265"/>
      <c r="B21" s="1753">
        <v>20303</v>
      </c>
      <c r="C21" s="1754">
        <v>0.1</v>
      </c>
      <c r="D21" s="2334" t="s">
        <v>578</v>
      </c>
      <c r="E21" s="2169">
        <v>378</v>
      </c>
      <c r="F21" s="794"/>
      <c r="G21" s="781"/>
      <c r="H21" s="781"/>
      <c r="I21" s="781"/>
      <c r="J21" s="781"/>
      <c r="K21" s="2342"/>
      <c r="L21" s="2169"/>
      <c r="M21" s="794"/>
      <c r="N21" s="781"/>
      <c r="O21" s="781"/>
      <c r="P21" s="781"/>
      <c r="Q21" s="781"/>
      <c r="R21" s="2342"/>
      <c r="S21" s="2169"/>
      <c r="T21" s="794"/>
      <c r="U21" s="781"/>
      <c r="V21" s="781"/>
      <c r="W21" s="781"/>
      <c r="X21" s="781">
        <v>5</v>
      </c>
      <c r="Y21" s="790"/>
      <c r="Z21" s="2169"/>
      <c r="AA21" s="2960"/>
      <c r="AB21" s="2974"/>
      <c r="AC21" s="2974"/>
      <c r="AD21" s="2974"/>
      <c r="AE21" s="2974"/>
      <c r="AF21" s="2975"/>
      <c r="AG21" s="306"/>
    </row>
    <row r="22" spans="1:33" s="338" customFormat="1">
      <c r="A22" s="265"/>
      <c r="B22" s="1753">
        <v>20304</v>
      </c>
      <c r="C22" s="1754">
        <v>0.1</v>
      </c>
      <c r="D22" s="2334" t="s">
        <v>579</v>
      </c>
      <c r="E22" s="344">
        <f t="shared" ref="E22:Z22" si="5">SUM(E23:E24)</f>
        <v>0</v>
      </c>
      <c r="F22" s="255">
        <f t="shared" si="5"/>
        <v>0</v>
      </c>
      <c r="G22" s="253">
        <f t="shared" si="5"/>
        <v>0</v>
      </c>
      <c r="H22" s="253">
        <f t="shared" si="5"/>
        <v>0</v>
      </c>
      <c r="I22" s="253">
        <f t="shared" si="5"/>
        <v>0</v>
      </c>
      <c r="J22" s="253">
        <f t="shared" si="5"/>
        <v>0</v>
      </c>
      <c r="K22" s="1959">
        <f t="shared" si="5"/>
        <v>0</v>
      </c>
      <c r="L22" s="344">
        <f t="shared" si="5"/>
        <v>0</v>
      </c>
      <c r="M22" s="255">
        <f t="shared" si="5"/>
        <v>0</v>
      </c>
      <c r="N22" s="253">
        <f t="shared" si="5"/>
        <v>0</v>
      </c>
      <c r="O22" s="253">
        <f t="shared" si="5"/>
        <v>0</v>
      </c>
      <c r="P22" s="253">
        <f t="shared" si="5"/>
        <v>0</v>
      </c>
      <c r="Q22" s="253">
        <f t="shared" si="5"/>
        <v>0</v>
      </c>
      <c r="R22" s="1959">
        <f t="shared" si="5"/>
        <v>0</v>
      </c>
      <c r="S22" s="344">
        <f t="shared" si="5"/>
        <v>0</v>
      </c>
      <c r="T22" s="255">
        <f t="shared" si="5"/>
        <v>0</v>
      </c>
      <c r="U22" s="253">
        <f t="shared" si="5"/>
        <v>0</v>
      </c>
      <c r="V22" s="253">
        <f t="shared" si="5"/>
        <v>0</v>
      </c>
      <c r="W22" s="253">
        <f t="shared" si="5"/>
        <v>0</v>
      </c>
      <c r="X22" s="253">
        <f t="shared" si="5"/>
        <v>0</v>
      </c>
      <c r="Y22" s="254">
        <f t="shared" si="5"/>
        <v>0</v>
      </c>
      <c r="Z22" s="344">
        <f t="shared" si="5"/>
        <v>0</v>
      </c>
      <c r="AA22" s="2960"/>
      <c r="AB22" s="2974"/>
      <c r="AC22" s="2974"/>
      <c r="AD22" s="2974"/>
      <c r="AE22" s="2974"/>
      <c r="AF22" s="2975"/>
    </row>
    <row r="23" spans="1:33" s="338" customFormat="1">
      <c r="A23" s="265"/>
      <c r="B23" s="1756">
        <v>2030401</v>
      </c>
      <c r="C23" s="1757">
        <v>0.1</v>
      </c>
      <c r="D23" s="2335" t="s">
        <v>1375</v>
      </c>
      <c r="E23" s="2169"/>
      <c r="F23" s="794"/>
      <c r="G23" s="781"/>
      <c r="H23" s="781"/>
      <c r="I23" s="781"/>
      <c r="J23" s="781"/>
      <c r="K23" s="2342"/>
      <c r="L23" s="2169"/>
      <c r="M23" s="794"/>
      <c r="N23" s="781"/>
      <c r="O23" s="781"/>
      <c r="P23" s="781"/>
      <c r="Q23" s="781"/>
      <c r="R23" s="2342"/>
      <c r="S23" s="2169"/>
      <c r="T23" s="794"/>
      <c r="U23" s="781"/>
      <c r="V23" s="781"/>
      <c r="W23" s="781"/>
      <c r="X23" s="781"/>
      <c r="Y23" s="790"/>
      <c r="Z23" s="2169"/>
      <c r="AA23" s="2960"/>
      <c r="AB23" s="2974"/>
      <c r="AC23" s="2974"/>
      <c r="AD23" s="2974"/>
      <c r="AE23" s="2974"/>
      <c r="AF23" s="2975"/>
      <c r="AG23" s="306"/>
    </row>
    <row r="24" spans="1:33" s="338" customFormat="1">
      <c r="A24" s="265"/>
      <c r="B24" s="1756">
        <v>2030402</v>
      </c>
      <c r="C24" s="1757">
        <v>0.1</v>
      </c>
      <c r="D24" s="2335" t="s">
        <v>601</v>
      </c>
      <c r="E24" s="2169"/>
      <c r="F24" s="794"/>
      <c r="G24" s="781"/>
      <c r="H24" s="781"/>
      <c r="I24" s="781"/>
      <c r="J24" s="781"/>
      <c r="K24" s="2342"/>
      <c r="L24" s="2169"/>
      <c r="M24" s="794"/>
      <c r="N24" s="781"/>
      <c r="O24" s="781"/>
      <c r="P24" s="781"/>
      <c r="Q24" s="781"/>
      <c r="R24" s="2342"/>
      <c r="S24" s="2169"/>
      <c r="T24" s="794"/>
      <c r="U24" s="781"/>
      <c r="V24" s="781"/>
      <c r="W24" s="781"/>
      <c r="X24" s="781"/>
      <c r="Y24" s="790"/>
      <c r="Z24" s="2169"/>
      <c r="AA24" s="2960"/>
      <c r="AB24" s="2974"/>
      <c r="AC24" s="2974"/>
      <c r="AD24" s="2974"/>
      <c r="AE24" s="2974"/>
      <c r="AF24" s="2975"/>
      <c r="AG24" s="306"/>
    </row>
    <row r="25" spans="1:33" s="338" customFormat="1">
      <c r="A25" s="265"/>
      <c r="B25" s="1753">
        <v>20305</v>
      </c>
      <c r="C25" s="1759">
        <v>0.1</v>
      </c>
      <c r="D25" s="2334" t="s">
        <v>602</v>
      </c>
      <c r="E25" s="344">
        <f>SUM(E26:E28)</f>
        <v>0</v>
      </c>
      <c r="F25" s="255">
        <f t="shared" ref="F25:Z25" si="6">SUM(F26:F28)</f>
        <v>0</v>
      </c>
      <c r="G25" s="253">
        <f t="shared" si="6"/>
        <v>0</v>
      </c>
      <c r="H25" s="253">
        <f t="shared" si="6"/>
        <v>0</v>
      </c>
      <c r="I25" s="253">
        <f t="shared" si="6"/>
        <v>0</v>
      </c>
      <c r="J25" s="253">
        <f t="shared" si="6"/>
        <v>0</v>
      </c>
      <c r="K25" s="1959">
        <f t="shared" si="6"/>
        <v>0</v>
      </c>
      <c r="L25" s="344">
        <f t="shared" si="6"/>
        <v>0</v>
      </c>
      <c r="M25" s="255">
        <f t="shared" si="6"/>
        <v>0</v>
      </c>
      <c r="N25" s="253">
        <f t="shared" si="6"/>
        <v>0</v>
      </c>
      <c r="O25" s="253">
        <f t="shared" si="6"/>
        <v>0</v>
      </c>
      <c r="P25" s="253">
        <f t="shared" si="6"/>
        <v>0</v>
      </c>
      <c r="Q25" s="253">
        <f t="shared" si="6"/>
        <v>0</v>
      </c>
      <c r="R25" s="1959">
        <f t="shared" si="6"/>
        <v>0</v>
      </c>
      <c r="S25" s="344">
        <f t="shared" si="6"/>
        <v>0</v>
      </c>
      <c r="T25" s="255">
        <f t="shared" si="6"/>
        <v>0</v>
      </c>
      <c r="U25" s="253">
        <f t="shared" si="6"/>
        <v>0</v>
      </c>
      <c r="V25" s="253">
        <f t="shared" si="6"/>
        <v>0</v>
      </c>
      <c r="W25" s="253">
        <f t="shared" si="6"/>
        <v>0</v>
      </c>
      <c r="X25" s="253">
        <f t="shared" si="6"/>
        <v>0</v>
      </c>
      <c r="Y25" s="254">
        <f t="shared" si="6"/>
        <v>0</v>
      </c>
      <c r="Z25" s="344">
        <f t="shared" si="6"/>
        <v>0</v>
      </c>
      <c r="AA25" s="2960"/>
      <c r="AB25" s="2974"/>
      <c r="AC25" s="2974"/>
      <c r="AD25" s="2974"/>
      <c r="AE25" s="2974"/>
      <c r="AF25" s="2975"/>
    </row>
    <row r="26" spans="1:33" s="338" customFormat="1">
      <c r="A26" s="265"/>
      <c r="B26" s="1753">
        <v>2030501</v>
      </c>
      <c r="C26" s="1760">
        <v>0.1</v>
      </c>
      <c r="D26" s="2335" t="s">
        <v>1391</v>
      </c>
      <c r="E26" s="2169"/>
      <c r="F26" s="794"/>
      <c r="G26" s="781"/>
      <c r="H26" s="781"/>
      <c r="I26" s="781"/>
      <c r="J26" s="781"/>
      <c r="K26" s="2342"/>
      <c r="L26" s="2169"/>
      <c r="M26" s="794"/>
      <c r="N26" s="781"/>
      <c r="O26" s="781"/>
      <c r="P26" s="781"/>
      <c r="Q26" s="781"/>
      <c r="R26" s="2342"/>
      <c r="S26" s="2169"/>
      <c r="T26" s="794"/>
      <c r="U26" s="781"/>
      <c r="V26" s="781"/>
      <c r="W26" s="781"/>
      <c r="X26" s="781"/>
      <c r="Y26" s="790"/>
      <c r="Z26" s="2169"/>
      <c r="AA26" s="2960"/>
      <c r="AB26" s="2974"/>
      <c r="AC26" s="2974"/>
      <c r="AD26" s="2974"/>
      <c r="AE26" s="2974"/>
      <c r="AF26" s="2975"/>
      <c r="AG26" s="306"/>
    </row>
    <row r="27" spans="1:33" s="338" customFormat="1" ht="25.5">
      <c r="A27" s="265"/>
      <c r="B27" s="1753">
        <v>2030502</v>
      </c>
      <c r="C27" s="1760">
        <v>0.1</v>
      </c>
      <c r="D27" s="2335" t="s">
        <v>948</v>
      </c>
      <c r="E27" s="2169"/>
      <c r="F27" s="794"/>
      <c r="G27" s="781"/>
      <c r="H27" s="781"/>
      <c r="I27" s="781"/>
      <c r="J27" s="781"/>
      <c r="K27" s="2342"/>
      <c r="L27" s="2169"/>
      <c r="M27" s="794"/>
      <c r="N27" s="781"/>
      <c r="O27" s="781"/>
      <c r="P27" s="781"/>
      <c r="Q27" s="781"/>
      <c r="R27" s="2342"/>
      <c r="S27" s="2169"/>
      <c r="T27" s="794"/>
      <c r="U27" s="781"/>
      <c r="V27" s="781"/>
      <c r="W27" s="781"/>
      <c r="X27" s="781"/>
      <c r="Y27" s="790"/>
      <c r="Z27" s="2169"/>
      <c r="AA27" s="2960"/>
      <c r="AB27" s="2974"/>
      <c r="AC27" s="2974"/>
      <c r="AD27" s="2974"/>
      <c r="AE27" s="2974"/>
      <c r="AF27" s="2975"/>
      <c r="AG27" s="306"/>
    </row>
    <row r="28" spans="1:33" s="338" customFormat="1">
      <c r="A28" s="265"/>
      <c r="B28" s="1753">
        <v>2030503</v>
      </c>
      <c r="C28" s="1760">
        <v>0.1</v>
      </c>
      <c r="D28" s="2335" t="s">
        <v>966</v>
      </c>
      <c r="E28" s="2169"/>
      <c r="F28" s="794"/>
      <c r="G28" s="781"/>
      <c r="H28" s="781"/>
      <c r="I28" s="781"/>
      <c r="J28" s="781"/>
      <c r="K28" s="2342"/>
      <c r="L28" s="2169"/>
      <c r="M28" s="794"/>
      <c r="N28" s="781"/>
      <c r="O28" s="781"/>
      <c r="P28" s="781"/>
      <c r="Q28" s="781"/>
      <c r="R28" s="2342"/>
      <c r="S28" s="2169"/>
      <c r="T28" s="794"/>
      <c r="U28" s="781"/>
      <c r="V28" s="781"/>
      <c r="W28" s="781"/>
      <c r="X28" s="781"/>
      <c r="Y28" s="790"/>
      <c r="Z28" s="2169"/>
      <c r="AA28" s="2960"/>
      <c r="AB28" s="2974"/>
      <c r="AC28" s="2974"/>
      <c r="AD28" s="2974"/>
      <c r="AE28" s="2974"/>
      <c r="AF28" s="2975"/>
      <c r="AG28" s="306"/>
    </row>
    <row r="29" spans="1:33" s="338" customFormat="1">
      <c r="A29" s="265"/>
      <c r="B29" s="1753">
        <v>20306</v>
      </c>
      <c r="C29" s="1754">
        <v>0.1</v>
      </c>
      <c r="D29" s="2334" t="s">
        <v>581</v>
      </c>
      <c r="E29" s="2169">
        <v>54</v>
      </c>
      <c r="F29" s="794"/>
      <c r="G29" s="781"/>
      <c r="H29" s="781"/>
      <c r="I29" s="781"/>
      <c r="J29" s="781"/>
      <c r="K29" s="2342"/>
      <c r="L29" s="2169"/>
      <c r="M29" s="794"/>
      <c r="N29" s="781"/>
      <c r="O29" s="781"/>
      <c r="P29" s="781"/>
      <c r="Q29" s="781"/>
      <c r="R29" s="2342"/>
      <c r="S29" s="2169"/>
      <c r="T29" s="794"/>
      <c r="U29" s="781"/>
      <c r="V29" s="781"/>
      <c r="W29" s="781"/>
      <c r="X29" s="781"/>
      <c r="Y29" s="790"/>
      <c r="Z29" s="2169"/>
      <c r="AA29" s="2960"/>
      <c r="AB29" s="2974"/>
      <c r="AC29" s="2974"/>
      <c r="AD29" s="2974"/>
      <c r="AE29" s="2974"/>
      <c r="AF29" s="2975"/>
      <c r="AG29" s="306"/>
    </row>
    <row r="30" spans="1:33" s="338" customFormat="1" ht="14.25" customHeight="1">
      <c r="A30" s="307">
        <v>4</v>
      </c>
      <c r="B30" s="1751">
        <v>204</v>
      </c>
      <c r="C30" s="1752"/>
      <c r="D30" s="2336" t="s">
        <v>274</v>
      </c>
      <c r="E30" s="341">
        <f>E31+E34+E43+E44</f>
        <v>0</v>
      </c>
      <c r="F30" s="313">
        <f t="shared" ref="F30:K30" si="7">F31+F34+F43+F44</f>
        <v>0</v>
      </c>
      <c r="G30" s="311">
        <f t="shared" si="7"/>
        <v>0</v>
      </c>
      <c r="H30" s="311">
        <f t="shared" si="7"/>
        <v>0</v>
      </c>
      <c r="I30" s="311">
        <f t="shared" si="7"/>
        <v>0</v>
      </c>
      <c r="J30" s="311">
        <f t="shared" si="7"/>
        <v>0</v>
      </c>
      <c r="K30" s="1958">
        <f t="shared" si="7"/>
        <v>0</v>
      </c>
      <c r="L30" s="341">
        <f t="shared" ref="L30:Z30" si="8">L31+L34+L43+L44</f>
        <v>0</v>
      </c>
      <c r="M30" s="313">
        <f t="shared" si="8"/>
        <v>0</v>
      </c>
      <c r="N30" s="311">
        <f t="shared" si="8"/>
        <v>0</v>
      </c>
      <c r="O30" s="311">
        <f t="shared" si="8"/>
        <v>0</v>
      </c>
      <c r="P30" s="311">
        <f t="shared" si="8"/>
        <v>0</v>
      </c>
      <c r="Q30" s="311">
        <f t="shared" si="8"/>
        <v>0</v>
      </c>
      <c r="R30" s="1958">
        <f t="shared" si="8"/>
        <v>0</v>
      </c>
      <c r="S30" s="341">
        <f t="shared" si="8"/>
        <v>0</v>
      </c>
      <c r="T30" s="313">
        <f t="shared" si="8"/>
        <v>0</v>
      </c>
      <c r="U30" s="311">
        <f t="shared" si="8"/>
        <v>0</v>
      </c>
      <c r="V30" s="311">
        <f t="shared" si="8"/>
        <v>0</v>
      </c>
      <c r="W30" s="311">
        <f t="shared" si="8"/>
        <v>0</v>
      </c>
      <c r="X30" s="311">
        <f t="shared" si="8"/>
        <v>0</v>
      </c>
      <c r="Y30" s="312">
        <f t="shared" si="8"/>
        <v>0</v>
      </c>
      <c r="Z30" s="341">
        <f t="shared" si="8"/>
        <v>0</v>
      </c>
      <c r="AA30" s="2960"/>
      <c r="AB30" s="2974"/>
      <c r="AC30" s="2974"/>
      <c r="AD30" s="2974"/>
      <c r="AE30" s="2974"/>
      <c r="AF30" s="2975"/>
      <c r="AG30" s="306"/>
    </row>
    <row r="31" spans="1:33" s="338" customFormat="1">
      <c r="A31" s="265"/>
      <c r="B31" s="1753">
        <v>20401</v>
      </c>
      <c r="C31" s="1759"/>
      <c r="D31" s="2330" t="s">
        <v>589</v>
      </c>
      <c r="E31" s="344">
        <f t="shared" ref="E31:Z31" si="9">SUM(E32:E33)</f>
        <v>0</v>
      </c>
      <c r="F31" s="255">
        <f t="shared" si="9"/>
        <v>0</v>
      </c>
      <c r="G31" s="253">
        <f t="shared" si="9"/>
        <v>0</v>
      </c>
      <c r="H31" s="253">
        <f t="shared" si="9"/>
        <v>0</v>
      </c>
      <c r="I31" s="253">
        <f t="shared" si="9"/>
        <v>0</v>
      </c>
      <c r="J31" s="253">
        <f t="shared" si="9"/>
        <v>0</v>
      </c>
      <c r="K31" s="1959">
        <f t="shared" si="9"/>
        <v>0</v>
      </c>
      <c r="L31" s="344">
        <f t="shared" si="9"/>
        <v>0</v>
      </c>
      <c r="M31" s="255">
        <f t="shared" si="9"/>
        <v>0</v>
      </c>
      <c r="N31" s="253">
        <f t="shared" si="9"/>
        <v>0</v>
      </c>
      <c r="O31" s="253">
        <f t="shared" si="9"/>
        <v>0</v>
      </c>
      <c r="P31" s="253">
        <f t="shared" si="9"/>
        <v>0</v>
      </c>
      <c r="Q31" s="253">
        <f t="shared" si="9"/>
        <v>0</v>
      </c>
      <c r="R31" s="1959">
        <f t="shared" si="9"/>
        <v>0</v>
      </c>
      <c r="S31" s="344">
        <f t="shared" si="9"/>
        <v>0</v>
      </c>
      <c r="T31" s="255">
        <f t="shared" si="9"/>
        <v>0</v>
      </c>
      <c r="U31" s="253">
        <f t="shared" si="9"/>
        <v>0</v>
      </c>
      <c r="V31" s="253">
        <f t="shared" si="9"/>
        <v>0</v>
      </c>
      <c r="W31" s="253">
        <f t="shared" si="9"/>
        <v>0</v>
      </c>
      <c r="X31" s="253">
        <f t="shared" si="9"/>
        <v>0</v>
      </c>
      <c r="Y31" s="254">
        <f t="shared" si="9"/>
        <v>0</v>
      </c>
      <c r="Z31" s="344">
        <f t="shared" si="9"/>
        <v>0</v>
      </c>
      <c r="AA31" s="2960"/>
      <c r="AB31" s="2974"/>
      <c r="AC31" s="2974"/>
      <c r="AD31" s="2974"/>
      <c r="AE31" s="2974"/>
      <c r="AF31" s="2975"/>
    </row>
    <row r="32" spans="1:33" s="338" customFormat="1">
      <c r="A32" s="265"/>
      <c r="B32" s="1756">
        <v>2040101</v>
      </c>
      <c r="C32" s="1757">
        <v>0.1</v>
      </c>
      <c r="D32" s="2337" t="s">
        <v>603</v>
      </c>
      <c r="E32" s="2169"/>
      <c r="F32" s="794"/>
      <c r="G32" s="781"/>
      <c r="H32" s="781"/>
      <c r="I32" s="781"/>
      <c r="J32" s="781"/>
      <c r="K32" s="2342"/>
      <c r="L32" s="2169"/>
      <c r="M32" s="794"/>
      <c r="N32" s="781"/>
      <c r="O32" s="781"/>
      <c r="P32" s="781"/>
      <c r="Q32" s="781"/>
      <c r="R32" s="2342"/>
      <c r="S32" s="2169"/>
      <c r="T32" s="794"/>
      <c r="U32" s="781"/>
      <c r="V32" s="781"/>
      <c r="W32" s="781"/>
      <c r="X32" s="781"/>
      <c r="Y32" s="790"/>
      <c r="Z32" s="2169"/>
      <c r="AA32" s="2960"/>
      <c r="AB32" s="2974"/>
      <c r="AC32" s="2974"/>
      <c r="AD32" s="2974"/>
      <c r="AE32" s="2974"/>
      <c r="AF32" s="2975"/>
    </row>
    <row r="33" spans="1:33" s="338" customFormat="1">
      <c r="A33" s="265"/>
      <c r="B33" s="1756">
        <v>2040102</v>
      </c>
      <c r="C33" s="1757">
        <v>0.04</v>
      </c>
      <c r="D33" s="2337" t="s">
        <v>604</v>
      </c>
      <c r="E33" s="2169"/>
      <c r="F33" s="794"/>
      <c r="G33" s="781"/>
      <c r="H33" s="781"/>
      <c r="I33" s="781"/>
      <c r="J33" s="781"/>
      <c r="K33" s="2342"/>
      <c r="L33" s="2169"/>
      <c r="M33" s="794"/>
      <c r="N33" s="781"/>
      <c r="O33" s="781"/>
      <c r="P33" s="781"/>
      <c r="Q33" s="781"/>
      <c r="R33" s="2342"/>
      <c r="S33" s="2169"/>
      <c r="T33" s="794"/>
      <c r="U33" s="781"/>
      <c r="V33" s="781"/>
      <c r="W33" s="781"/>
      <c r="X33" s="781"/>
      <c r="Y33" s="790"/>
      <c r="Z33" s="2169"/>
      <c r="AA33" s="2960"/>
      <c r="AB33" s="2974"/>
      <c r="AC33" s="2974"/>
      <c r="AD33" s="2974"/>
      <c r="AE33" s="2974"/>
      <c r="AF33" s="2975"/>
    </row>
    <row r="34" spans="1:33" s="338" customFormat="1">
      <c r="A34" s="265"/>
      <c r="B34" s="1753">
        <v>20402</v>
      </c>
      <c r="C34" s="1759"/>
      <c r="D34" s="2330" t="s">
        <v>605</v>
      </c>
      <c r="E34" s="344">
        <f t="shared" ref="E34:L34" si="10">SUM(E35:E42)</f>
        <v>0</v>
      </c>
      <c r="F34" s="255">
        <f t="shared" si="10"/>
        <v>0</v>
      </c>
      <c r="G34" s="253">
        <f t="shared" si="10"/>
        <v>0</v>
      </c>
      <c r="H34" s="253">
        <f t="shared" si="10"/>
        <v>0</v>
      </c>
      <c r="I34" s="253">
        <f t="shared" si="10"/>
        <v>0</v>
      </c>
      <c r="J34" s="253">
        <f t="shared" si="10"/>
        <v>0</v>
      </c>
      <c r="K34" s="1959">
        <f t="shared" si="10"/>
        <v>0</v>
      </c>
      <c r="L34" s="344">
        <f t="shared" si="10"/>
        <v>0</v>
      </c>
      <c r="M34" s="255">
        <f t="shared" ref="M34:Z34" si="11">SUM(M35:M42)</f>
        <v>0</v>
      </c>
      <c r="N34" s="253">
        <f t="shared" si="11"/>
        <v>0</v>
      </c>
      <c r="O34" s="253">
        <f t="shared" si="11"/>
        <v>0</v>
      </c>
      <c r="P34" s="253">
        <f t="shared" si="11"/>
        <v>0</v>
      </c>
      <c r="Q34" s="253">
        <f t="shared" si="11"/>
        <v>0</v>
      </c>
      <c r="R34" s="1959">
        <f t="shared" si="11"/>
        <v>0</v>
      </c>
      <c r="S34" s="344">
        <f t="shared" si="11"/>
        <v>0</v>
      </c>
      <c r="T34" s="255">
        <f t="shared" si="11"/>
        <v>0</v>
      </c>
      <c r="U34" s="253">
        <f t="shared" si="11"/>
        <v>0</v>
      </c>
      <c r="V34" s="253">
        <f t="shared" si="11"/>
        <v>0</v>
      </c>
      <c r="W34" s="253">
        <f t="shared" si="11"/>
        <v>0</v>
      </c>
      <c r="X34" s="253">
        <f t="shared" si="11"/>
        <v>0</v>
      </c>
      <c r="Y34" s="254">
        <f t="shared" si="11"/>
        <v>0</v>
      </c>
      <c r="Z34" s="344">
        <f t="shared" si="11"/>
        <v>0</v>
      </c>
      <c r="AA34" s="2960"/>
      <c r="AB34" s="2974"/>
      <c r="AC34" s="2974"/>
      <c r="AD34" s="2974"/>
      <c r="AE34" s="2974"/>
      <c r="AF34" s="2975"/>
    </row>
    <row r="35" spans="1:33" s="338" customFormat="1">
      <c r="A35" s="265"/>
      <c r="B35" s="1753">
        <v>2040201</v>
      </c>
      <c r="C35" s="1754">
        <v>0.02</v>
      </c>
      <c r="D35" s="2335" t="s">
        <v>1007</v>
      </c>
      <c r="E35" s="2169"/>
      <c r="F35" s="794"/>
      <c r="G35" s="781"/>
      <c r="H35" s="781"/>
      <c r="I35" s="781"/>
      <c r="J35" s="781"/>
      <c r="K35" s="2342"/>
      <c r="L35" s="2169"/>
      <c r="M35" s="794"/>
      <c r="N35" s="781"/>
      <c r="O35" s="781"/>
      <c r="P35" s="781"/>
      <c r="Q35" s="781"/>
      <c r="R35" s="2342"/>
      <c r="S35" s="2169"/>
      <c r="T35" s="794"/>
      <c r="U35" s="781"/>
      <c r="V35" s="781"/>
      <c r="W35" s="781"/>
      <c r="X35" s="781"/>
      <c r="Y35" s="790"/>
      <c r="Z35" s="2169"/>
      <c r="AA35" s="2960"/>
      <c r="AB35" s="2974"/>
      <c r="AC35" s="2974"/>
      <c r="AD35" s="2974"/>
      <c r="AE35" s="2974"/>
      <c r="AF35" s="2975"/>
    </row>
    <row r="36" spans="1:33" s="338" customFormat="1">
      <c r="A36" s="265"/>
      <c r="B36" s="1753">
        <v>2040202</v>
      </c>
      <c r="C36" s="1754">
        <v>0.02</v>
      </c>
      <c r="D36" s="2335" t="s">
        <v>1008</v>
      </c>
      <c r="E36" s="2169"/>
      <c r="F36" s="794"/>
      <c r="G36" s="781"/>
      <c r="H36" s="781"/>
      <c r="I36" s="781"/>
      <c r="J36" s="781"/>
      <c r="K36" s="2342"/>
      <c r="L36" s="2169"/>
      <c r="M36" s="794"/>
      <c r="N36" s="781"/>
      <c r="O36" s="781"/>
      <c r="P36" s="781"/>
      <c r="Q36" s="781"/>
      <c r="R36" s="2342"/>
      <c r="S36" s="2169"/>
      <c r="T36" s="794"/>
      <c r="U36" s="781"/>
      <c r="V36" s="781"/>
      <c r="W36" s="781"/>
      <c r="X36" s="781"/>
      <c r="Y36" s="790"/>
      <c r="Z36" s="2169"/>
      <c r="AA36" s="2960"/>
      <c r="AB36" s="2974"/>
      <c r="AC36" s="2974"/>
      <c r="AD36" s="2974"/>
      <c r="AE36" s="2974"/>
      <c r="AF36" s="2975"/>
    </row>
    <row r="37" spans="1:33" s="338" customFormat="1">
      <c r="A37" s="265"/>
      <c r="B37" s="1753">
        <v>2040203</v>
      </c>
      <c r="C37" s="1754">
        <v>0.02</v>
      </c>
      <c r="D37" s="2335" t="s">
        <v>590</v>
      </c>
      <c r="E37" s="2169"/>
      <c r="F37" s="794"/>
      <c r="G37" s="781"/>
      <c r="H37" s="781"/>
      <c r="I37" s="781"/>
      <c r="J37" s="781"/>
      <c r="K37" s="2342"/>
      <c r="L37" s="2169"/>
      <c r="M37" s="794"/>
      <c r="N37" s="781"/>
      <c r="O37" s="781"/>
      <c r="P37" s="781"/>
      <c r="Q37" s="781"/>
      <c r="R37" s="2342"/>
      <c r="S37" s="2169"/>
      <c r="T37" s="794"/>
      <c r="U37" s="781"/>
      <c r="V37" s="781"/>
      <c r="W37" s="781"/>
      <c r="X37" s="781"/>
      <c r="Y37" s="790"/>
      <c r="Z37" s="2169"/>
      <c r="AA37" s="2960"/>
      <c r="AB37" s="2974"/>
      <c r="AC37" s="2974"/>
      <c r="AD37" s="2974"/>
      <c r="AE37" s="2974"/>
      <c r="AF37" s="2975"/>
    </row>
    <row r="38" spans="1:33" s="338" customFormat="1">
      <c r="A38" s="265"/>
      <c r="B38" s="1753">
        <v>2040204</v>
      </c>
      <c r="C38" s="1754">
        <v>0.02</v>
      </c>
      <c r="D38" s="2337" t="s">
        <v>591</v>
      </c>
      <c r="E38" s="2169"/>
      <c r="F38" s="794"/>
      <c r="G38" s="781"/>
      <c r="H38" s="781"/>
      <c r="I38" s="781"/>
      <c r="J38" s="781"/>
      <c r="K38" s="2342"/>
      <c r="L38" s="2169"/>
      <c r="M38" s="794"/>
      <c r="N38" s="781"/>
      <c r="O38" s="781"/>
      <c r="P38" s="781"/>
      <c r="Q38" s="781"/>
      <c r="R38" s="2342"/>
      <c r="S38" s="2169"/>
      <c r="T38" s="794"/>
      <c r="U38" s="781"/>
      <c r="V38" s="781"/>
      <c r="W38" s="781"/>
      <c r="X38" s="781"/>
      <c r="Y38" s="790"/>
      <c r="Z38" s="2169"/>
      <c r="AA38" s="2960"/>
      <c r="AB38" s="2974"/>
      <c r="AC38" s="2974"/>
      <c r="AD38" s="2974"/>
      <c r="AE38" s="2974"/>
      <c r="AF38" s="2975"/>
    </row>
    <row r="39" spans="1:33" s="338" customFormat="1">
      <c r="A39" s="265"/>
      <c r="B39" s="1753">
        <v>2040205</v>
      </c>
      <c r="C39" s="1754">
        <v>0.02</v>
      </c>
      <c r="D39" s="2335" t="s">
        <v>592</v>
      </c>
      <c r="E39" s="2169"/>
      <c r="F39" s="794"/>
      <c r="G39" s="781"/>
      <c r="H39" s="781"/>
      <c r="I39" s="781"/>
      <c r="J39" s="781"/>
      <c r="K39" s="2342"/>
      <c r="L39" s="2169"/>
      <c r="M39" s="794"/>
      <c r="N39" s="781"/>
      <c r="O39" s="781"/>
      <c r="P39" s="781"/>
      <c r="Q39" s="781"/>
      <c r="R39" s="2342"/>
      <c r="S39" s="2169"/>
      <c r="T39" s="794"/>
      <c r="U39" s="781"/>
      <c r="V39" s="781"/>
      <c r="W39" s="781"/>
      <c r="X39" s="781"/>
      <c r="Y39" s="790"/>
      <c r="Z39" s="2169"/>
      <c r="AA39" s="2960"/>
      <c r="AB39" s="2974"/>
      <c r="AC39" s="2974"/>
      <c r="AD39" s="2974"/>
      <c r="AE39" s="2974"/>
      <c r="AF39" s="2975"/>
    </row>
    <row r="40" spans="1:33" s="338" customFormat="1">
      <c r="A40" s="265"/>
      <c r="B40" s="1753">
        <v>2040206</v>
      </c>
      <c r="C40" s="1754">
        <v>0.02</v>
      </c>
      <c r="D40" s="2335" t="s">
        <v>593</v>
      </c>
      <c r="E40" s="2169"/>
      <c r="F40" s="794"/>
      <c r="G40" s="781"/>
      <c r="H40" s="781"/>
      <c r="I40" s="781"/>
      <c r="J40" s="781"/>
      <c r="K40" s="2342"/>
      <c r="L40" s="2169"/>
      <c r="M40" s="794"/>
      <c r="N40" s="781"/>
      <c r="O40" s="781"/>
      <c r="P40" s="781"/>
      <c r="Q40" s="781"/>
      <c r="R40" s="2342"/>
      <c r="S40" s="2169"/>
      <c r="T40" s="794"/>
      <c r="U40" s="781"/>
      <c r="V40" s="781"/>
      <c r="W40" s="781"/>
      <c r="X40" s="781"/>
      <c r="Y40" s="790"/>
      <c r="Z40" s="2169"/>
      <c r="AA40" s="2960"/>
      <c r="AB40" s="2974"/>
      <c r="AC40" s="2974"/>
      <c r="AD40" s="2974"/>
      <c r="AE40" s="2974"/>
      <c r="AF40" s="2975"/>
    </row>
    <row r="41" spans="1:33" s="338" customFormat="1" ht="25.5">
      <c r="A41" s="265"/>
      <c r="B41" s="1753">
        <v>2040207</v>
      </c>
      <c r="C41" s="1754">
        <v>0.04</v>
      </c>
      <c r="D41" s="2335" t="s">
        <v>594</v>
      </c>
      <c r="E41" s="2169"/>
      <c r="F41" s="794"/>
      <c r="G41" s="781"/>
      <c r="H41" s="781"/>
      <c r="I41" s="781"/>
      <c r="J41" s="781"/>
      <c r="K41" s="2342"/>
      <c r="L41" s="2169"/>
      <c r="M41" s="794"/>
      <c r="N41" s="781"/>
      <c r="O41" s="781"/>
      <c r="P41" s="781"/>
      <c r="Q41" s="781"/>
      <c r="R41" s="2342"/>
      <c r="S41" s="2169"/>
      <c r="T41" s="794"/>
      <c r="U41" s="781"/>
      <c r="V41" s="781"/>
      <c r="W41" s="781"/>
      <c r="X41" s="781"/>
      <c r="Y41" s="790"/>
      <c r="Z41" s="2169"/>
      <c r="AA41" s="2960"/>
      <c r="AB41" s="2974"/>
      <c r="AC41" s="2974"/>
      <c r="AD41" s="2974"/>
      <c r="AE41" s="2974"/>
      <c r="AF41" s="2975"/>
    </row>
    <row r="42" spans="1:33" s="338" customFormat="1">
      <c r="A42" s="265"/>
      <c r="B42" s="1753">
        <v>2040208</v>
      </c>
      <c r="C42" s="1754">
        <v>0.04</v>
      </c>
      <c r="D42" s="2335" t="s">
        <v>595</v>
      </c>
      <c r="E42" s="2169"/>
      <c r="F42" s="794"/>
      <c r="G42" s="781"/>
      <c r="H42" s="781"/>
      <c r="I42" s="781"/>
      <c r="J42" s="781"/>
      <c r="K42" s="2342"/>
      <c r="L42" s="2169"/>
      <c r="M42" s="794"/>
      <c r="N42" s="781"/>
      <c r="O42" s="781"/>
      <c r="P42" s="781"/>
      <c r="Q42" s="781"/>
      <c r="R42" s="2342"/>
      <c r="S42" s="2169"/>
      <c r="T42" s="794"/>
      <c r="U42" s="781"/>
      <c r="V42" s="781"/>
      <c r="W42" s="781"/>
      <c r="X42" s="781"/>
      <c r="Y42" s="790"/>
      <c r="Z42" s="2169"/>
      <c r="AA42" s="2960"/>
      <c r="AB42" s="2974"/>
      <c r="AC42" s="2974"/>
      <c r="AD42" s="2974"/>
      <c r="AE42" s="2974"/>
      <c r="AF42" s="2975"/>
    </row>
    <row r="43" spans="1:33" s="338" customFormat="1">
      <c r="A43" s="265"/>
      <c r="B43" s="1753">
        <v>20403</v>
      </c>
      <c r="C43" s="1754">
        <v>0.04</v>
      </c>
      <c r="D43" s="1742" t="s">
        <v>1524</v>
      </c>
      <c r="E43" s="2169"/>
      <c r="F43" s="794"/>
      <c r="G43" s="781"/>
      <c r="H43" s="781"/>
      <c r="I43" s="781"/>
      <c r="J43" s="781"/>
      <c r="K43" s="2342"/>
      <c r="L43" s="2169"/>
      <c r="M43" s="794"/>
      <c r="N43" s="781"/>
      <c r="O43" s="781"/>
      <c r="P43" s="781"/>
      <c r="Q43" s="781"/>
      <c r="R43" s="2342"/>
      <c r="S43" s="2169"/>
      <c r="T43" s="794"/>
      <c r="U43" s="781"/>
      <c r="V43" s="781"/>
      <c r="W43" s="781"/>
      <c r="X43" s="781"/>
      <c r="Y43" s="790"/>
      <c r="Z43" s="2169"/>
      <c r="AA43" s="2960"/>
      <c r="AB43" s="2974"/>
      <c r="AC43" s="2974"/>
      <c r="AD43" s="2974"/>
      <c r="AE43" s="2974"/>
      <c r="AF43" s="2975"/>
    </row>
    <row r="44" spans="1:33" s="338" customFormat="1" ht="25.5">
      <c r="A44" s="265"/>
      <c r="B44" s="1753" t="s">
        <v>1525</v>
      </c>
      <c r="C44" s="1754">
        <v>0.04</v>
      </c>
      <c r="D44" s="1742" t="s">
        <v>1526</v>
      </c>
      <c r="E44" s="2169"/>
      <c r="F44" s="794"/>
      <c r="G44" s="781"/>
      <c r="H44" s="781"/>
      <c r="I44" s="781"/>
      <c r="J44" s="781"/>
      <c r="K44" s="2342"/>
      <c r="L44" s="2169"/>
      <c r="M44" s="794"/>
      <c r="N44" s="781"/>
      <c r="O44" s="781"/>
      <c r="P44" s="781"/>
      <c r="Q44" s="781"/>
      <c r="R44" s="2342"/>
      <c r="S44" s="2169"/>
      <c r="T44" s="794"/>
      <c r="U44" s="781"/>
      <c r="V44" s="781"/>
      <c r="W44" s="781"/>
      <c r="X44" s="781"/>
      <c r="Y44" s="790"/>
      <c r="Z44" s="2169"/>
      <c r="AA44" s="2960"/>
      <c r="AB44" s="2974"/>
      <c r="AC44" s="2974"/>
      <c r="AD44" s="2974"/>
      <c r="AE44" s="2974"/>
      <c r="AF44" s="2975"/>
    </row>
    <row r="45" spans="1:33" s="338" customFormat="1">
      <c r="A45" s="307">
        <v>5</v>
      </c>
      <c r="B45" s="1751">
        <v>205</v>
      </c>
      <c r="C45" s="1751"/>
      <c r="D45" s="2333" t="s">
        <v>275</v>
      </c>
      <c r="E45" s="345">
        <f t="shared" ref="E45:Z45" si="12">SUM(E46:E49)</f>
        <v>622</v>
      </c>
      <c r="F45" s="2341">
        <f t="shared" si="12"/>
        <v>150</v>
      </c>
      <c r="G45" s="256">
        <f t="shared" si="12"/>
        <v>0</v>
      </c>
      <c r="H45" s="256">
        <f t="shared" si="12"/>
        <v>0</v>
      </c>
      <c r="I45" s="256">
        <f t="shared" si="12"/>
        <v>0</v>
      </c>
      <c r="J45" s="256">
        <f t="shared" si="12"/>
        <v>0</v>
      </c>
      <c r="K45" s="1960">
        <f t="shared" si="12"/>
        <v>0</v>
      </c>
      <c r="L45" s="345">
        <f t="shared" si="12"/>
        <v>16</v>
      </c>
      <c r="M45" s="313">
        <f t="shared" si="12"/>
        <v>0</v>
      </c>
      <c r="N45" s="311">
        <f t="shared" si="12"/>
        <v>0</v>
      </c>
      <c r="O45" s="311">
        <f t="shared" si="12"/>
        <v>0</v>
      </c>
      <c r="P45" s="311">
        <f t="shared" si="12"/>
        <v>0</v>
      </c>
      <c r="Q45" s="311">
        <f t="shared" si="12"/>
        <v>0</v>
      </c>
      <c r="R45" s="1958">
        <f t="shared" si="12"/>
        <v>230</v>
      </c>
      <c r="S45" s="345">
        <f t="shared" si="12"/>
        <v>0</v>
      </c>
      <c r="T45" s="2341">
        <f t="shared" si="12"/>
        <v>0</v>
      </c>
      <c r="U45" s="256">
        <f t="shared" si="12"/>
        <v>0</v>
      </c>
      <c r="V45" s="256">
        <f t="shared" si="12"/>
        <v>0</v>
      </c>
      <c r="W45" s="256">
        <f t="shared" si="12"/>
        <v>0</v>
      </c>
      <c r="X45" s="256">
        <f t="shared" si="12"/>
        <v>0</v>
      </c>
      <c r="Y45" s="2923">
        <f t="shared" si="12"/>
        <v>0</v>
      </c>
      <c r="Z45" s="345">
        <f t="shared" si="12"/>
        <v>0</v>
      </c>
      <c r="AA45" s="2960"/>
      <c r="AB45" s="2974"/>
      <c r="AC45" s="2974"/>
      <c r="AD45" s="2974"/>
      <c r="AE45" s="2974"/>
      <c r="AF45" s="2975"/>
    </row>
    <row r="46" spans="1:33" s="338" customFormat="1">
      <c r="A46" s="274"/>
      <c r="B46" s="1740">
        <v>20501</v>
      </c>
      <c r="C46" s="1741">
        <v>0.08</v>
      </c>
      <c r="D46" s="2338" t="s">
        <v>765</v>
      </c>
      <c r="E46" s="2169">
        <v>290</v>
      </c>
      <c r="F46" s="794"/>
      <c r="G46" s="781"/>
      <c r="H46" s="781"/>
      <c r="I46" s="781"/>
      <c r="J46" s="781"/>
      <c r="K46" s="2342"/>
      <c r="L46" s="2169">
        <v>9</v>
      </c>
      <c r="M46" s="794"/>
      <c r="N46" s="781"/>
      <c r="O46" s="781"/>
      <c r="P46" s="781"/>
      <c r="Q46" s="781"/>
      <c r="R46" s="2342">
        <v>230</v>
      </c>
      <c r="S46" s="2169"/>
      <c r="T46" s="794"/>
      <c r="U46" s="781"/>
      <c r="V46" s="781"/>
      <c r="W46" s="781"/>
      <c r="X46" s="781"/>
      <c r="Y46" s="790"/>
      <c r="Z46" s="2169"/>
      <c r="AA46" s="2960"/>
      <c r="AB46" s="2974"/>
      <c r="AC46" s="2974"/>
      <c r="AD46" s="2974"/>
      <c r="AE46" s="2974"/>
      <c r="AF46" s="2975"/>
      <c r="AG46" s="306"/>
    </row>
    <row r="47" spans="1:33" s="338" customFormat="1">
      <c r="A47" s="274"/>
      <c r="B47" s="1740">
        <v>20502</v>
      </c>
      <c r="C47" s="1741">
        <v>0.1</v>
      </c>
      <c r="D47" s="2338" t="s">
        <v>583</v>
      </c>
      <c r="E47" s="2169">
        <v>332</v>
      </c>
      <c r="F47" s="794"/>
      <c r="G47" s="781"/>
      <c r="H47" s="781"/>
      <c r="I47" s="781"/>
      <c r="J47" s="781"/>
      <c r="K47" s="2342"/>
      <c r="L47" s="2169">
        <v>7</v>
      </c>
      <c r="M47" s="794"/>
      <c r="N47" s="781"/>
      <c r="O47" s="781"/>
      <c r="P47" s="781"/>
      <c r="Q47" s="781"/>
      <c r="R47" s="2342"/>
      <c r="S47" s="2169"/>
      <c r="T47" s="794"/>
      <c r="U47" s="781"/>
      <c r="V47" s="781"/>
      <c r="W47" s="781"/>
      <c r="X47" s="781"/>
      <c r="Y47" s="790"/>
      <c r="Z47" s="2169"/>
      <c r="AA47" s="2960"/>
      <c r="AB47" s="2974"/>
      <c r="AC47" s="2974"/>
      <c r="AD47" s="2974"/>
      <c r="AE47" s="2974"/>
      <c r="AF47" s="2975"/>
      <c r="AG47" s="306"/>
    </row>
    <row r="48" spans="1:33" s="338" customFormat="1">
      <c r="A48" s="274"/>
      <c r="B48" s="1740">
        <v>20503</v>
      </c>
      <c r="C48" s="1741">
        <v>0.1</v>
      </c>
      <c r="D48" s="2334" t="s">
        <v>584</v>
      </c>
      <c r="E48" s="2169"/>
      <c r="F48" s="794">
        <v>150</v>
      </c>
      <c r="G48" s="781"/>
      <c r="H48" s="781"/>
      <c r="I48" s="781"/>
      <c r="J48" s="781"/>
      <c r="K48" s="2342"/>
      <c r="L48" s="2169"/>
      <c r="M48" s="794"/>
      <c r="N48" s="781"/>
      <c r="O48" s="781"/>
      <c r="P48" s="781"/>
      <c r="Q48" s="781"/>
      <c r="R48" s="2342"/>
      <c r="S48" s="2169"/>
      <c r="T48" s="794"/>
      <c r="U48" s="781"/>
      <c r="V48" s="781"/>
      <c r="W48" s="781"/>
      <c r="X48" s="781"/>
      <c r="Y48" s="790"/>
      <c r="Z48" s="2169"/>
      <c r="AA48" s="2960"/>
      <c r="AB48" s="2974"/>
      <c r="AC48" s="2974"/>
      <c r="AD48" s="2974"/>
      <c r="AE48" s="2974"/>
      <c r="AF48" s="2975"/>
      <c r="AG48" s="306"/>
    </row>
    <row r="49" spans="1:33" s="338" customFormat="1">
      <c r="A49" s="274"/>
      <c r="B49" s="1740">
        <v>20504</v>
      </c>
      <c r="C49" s="1741">
        <v>0.1</v>
      </c>
      <c r="D49" s="2334" t="s">
        <v>759</v>
      </c>
      <c r="E49" s="2169"/>
      <c r="F49" s="794"/>
      <c r="G49" s="781"/>
      <c r="H49" s="781"/>
      <c r="I49" s="781"/>
      <c r="J49" s="781"/>
      <c r="K49" s="2342"/>
      <c r="L49" s="2169"/>
      <c r="M49" s="794"/>
      <c r="N49" s="781"/>
      <c r="O49" s="781"/>
      <c r="P49" s="781"/>
      <c r="Q49" s="781"/>
      <c r="R49" s="2342"/>
      <c r="S49" s="2169"/>
      <c r="T49" s="794"/>
      <c r="U49" s="781"/>
      <c r="V49" s="781"/>
      <c r="W49" s="781"/>
      <c r="X49" s="781"/>
      <c r="Y49" s="790"/>
      <c r="Z49" s="2169"/>
      <c r="AA49" s="2960"/>
      <c r="AB49" s="2974"/>
      <c r="AC49" s="2974"/>
      <c r="AD49" s="2974"/>
      <c r="AE49" s="2974"/>
      <c r="AF49" s="2975"/>
      <c r="AG49" s="306"/>
    </row>
    <row r="50" spans="1:33" s="338" customFormat="1">
      <c r="A50" s="322">
        <v>6</v>
      </c>
      <c r="B50" s="1764">
        <v>206</v>
      </c>
      <c r="C50" s="1765">
        <v>0.1</v>
      </c>
      <c r="D50" s="2336" t="s">
        <v>564</v>
      </c>
      <c r="E50" s="345">
        <f>SUM(E51:E53)</f>
        <v>7</v>
      </c>
      <c r="F50" s="2341">
        <f>SUM(F51:F53)</f>
        <v>0</v>
      </c>
      <c r="G50" s="256">
        <f t="shared" ref="G50:Z50" si="13">SUM(G51:G53)</f>
        <v>0</v>
      </c>
      <c r="H50" s="256">
        <f t="shared" si="13"/>
        <v>40</v>
      </c>
      <c r="I50" s="256">
        <f>SUM(I51:I53)</f>
        <v>0</v>
      </c>
      <c r="J50" s="256">
        <f t="shared" si="13"/>
        <v>0</v>
      </c>
      <c r="K50" s="1960">
        <f t="shared" si="13"/>
        <v>0</v>
      </c>
      <c r="L50" s="345">
        <f t="shared" si="13"/>
        <v>1</v>
      </c>
      <c r="M50" s="313">
        <f t="shared" si="13"/>
        <v>0</v>
      </c>
      <c r="N50" s="311">
        <f t="shared" si="13"/>
        <v>0</v>
      </c>
      <c r="O50" s="311">
        <f t="shared" si="13"/>
        <v>0</v>
      </c>
      <c r="P50" s="311">
        <f t="shared" si="13"/>
        <v>0</v>
      </c>
      <c r="Q50" s="311">
        <f t="shared" si="13"/>
        <v>0</v>
      </c>
      <c r="R50" s="1958">
        <f t="shared" si="13"/>
        <v>10</v>
      </c>
      <c r="S50" s="345">
        <f t="shared" si="13"/>
        <v>0</v>
      </c>
      <c r="T50" s="313">
        <f t="shared" si="13"/>
        <v>0</v>
      </c>
      <c r="U50" s="311">
        <f t="shared" si="13"/>
        <v>0</v>
      </c>
      <c r="V50" s="311">
        <f t="shared" si="13"/>
        <v>0</v>
      </c>
      <c r="W50" s="311">
        <f t="shared" si="13"/>
        <v>0</v>
      </c>
      <c r="X50" s="311">
        <f t="shared" si="13"/>
        <v>0</v>
      </c>
      <c r="Y50" s="312">
        <f t="shared" si="13"/>
        <v>0</v>
      </c>
      <c r="Z50" s="345">
        <f t="shared" si="13"/>
        <v>0</v>
      </c>
      <c r="AA50" s="2960"/>
      <c r="AB50" s="2974"/>
      <c r="AC50" s="2974"/>
      <c r="AD50" s="2974"/>
      <c r="AE50" s="2974"/>
      <c r="AF50" s="2975"/>
    </row>
    <row r="51" spans="1:33" s="338" customFormat="1">
      <c r="A51" s="322"/>
      <c r="B51" s="1740">
        <v>20601</v>
      </c>
      <c r="C51" s="1741">
        <v>0.1</v>
      </c>
      <c r="D51" s="2334" t="s">
        <v>766</v>
      </c>
      <c r="E51" s="2169">
        <v>7</v>
      </c>
      <c r="F51" s="794"/>
      <c r="G51" s="781"/>
      <c r="H51" s="781"/>
      <c r="I51" s="781"/>
      <c r="J51" s="781"/>
      <c r="K51" s="2342"/>
      <c r="L51" s="2169">
        <v>1</v>
      </c>
      <c r="M51" s="794"/>
      <c r="N51" s="781"/>
      <c r="O51" s="781"/>
      <c r="P51" s="781"/>
      <c r="Q51" s="781"/>
      <c r="R51" s="2342"/>
      <c r="S51" s="2169"/>
      <c r="T51" s="794"/>
      <c r="U51" s="781"/>
      <c r="V51" s="781"/>
      <c r="W51" s="781"/>
      <c r="X51" s="781"/>
      <c r="Y51" s="790"/>
      <c r="Z51" s="2169"/>
      <c r="AA51" s="2960"/>
      <c r="AB51" s="2974"/>
      <c r="AC51" s="2974"/>
      <c r="AD51" s="2974"/>
      <c r="AE51" s="2974"/>
      <c r="AF51" s="2975"/>
      <c r="AG51" s="306"/>
    </row>
    <row r="52" spans="1:33" s="338" customFormat="1">
      <c r="A52" s="322"/>
      <c r="B52" s="1740">
        <v>20602</v>
      </c>
      <c r="C52" s="1741">
        <v>0.1</v>
      </c>
      <c r="D52" s="2334" t="s">
        <v>607</v>
      </c>
      <c r="E52" s="2169"/>
      <c r="F52" s="794"/>
      <c r="G52" s="781"/>
      <c r="H52" s="781">
        <v>40</v>
      </c>
      <c r="I52" s="781"/>
      <c r="J52" s="781"/>
      <c r="K52" s="2342"/>
      <c r="L52" s="2169"/>
      <c r="M52" s="794"/>
      <c r="N52" s="781"/>
      <c r="O52" s="781"/>
      <c r="P52" s="781"/>
      <c r="Q52" s="781"/>
      <c r="R52" s="2342">
        <v>10</v>
      </c>
      <c r="S52" s="2169"/>
      <c r="T52" s="794"/>
      <c r="U52" s="781"/>
      <c r="V52" s="781"/>
      <c r="W52" s="781"/>
      <c r="X52" s="781"/>
      <c r="Y52" s="790"/>
      <c r="Z52" s="2169"/>
      <c r="AA52" s="2960"/>
      <c r="AB52" s="2974"/>
      <c r="AC52" s="2974"/>
      <c r="AD52" s="2974"/>
      <c r="AE52" s="2974"/>
      <c r="AF52" s="2975"/>
      <c r="AG52" s="306"/>
    </row>
    <row r="53" spans="1:33" s="338" customFormat="1">
      <c r="A53" s="322"/>
      <c r="B53" s="1740">
        <v>20603</v>
      </c>
      <c r="C53" s="1741">
        <v>0.5</v>
      </c>
      <c r="D53" s="2334" t="s">
        <v>1441</v>
      </c>
      <c r="E53" s="2169"/>
      <c r="F53" s="794"/>
      <c r="G53" s="781"/>
      <c r="H53" s="781"/>
      <c r="I53" s="781"/>
      <c r="J53" s="781"/>
      <c r="K53" s="2342"/>
      <c r="L53" s="2169"/>
      <c r="M53" s="794"/>
      <c r="N53" s="781"/>
      <c r="O53" s="781"/>
      <c r="P53" s="781"/>
      <c r="Q53" s="781"/>
      <c r="R53" s="2342"/>
      <c r="S53" s="2169"/>
      <c r="T53" s="794"/>
      <c r="U53" s="781"/>
      <c r="V53" s="781"/>
      <c r="W53" s="781"/>
      <c r="X53" s="781"/>
      <c r="Y53" s="790"/>
      <c r="Z53" s="2169"/>
      <c r="AA53" s="2960"/>
      <c r="AB53" s="2974"/>
      <c r="AC53" s="2974"/>
      <c r="AD53" s="2974"/>
      <c r="AE53" s="2974"/>
      <c r="AF53" s="2975"/>
      <c r="AG53" s="306"/>
    </row>
    <row r="54" spans="1:33" s="261" customFormat="1">
      <c r="A54" s="322">
        <v>7</v>
      </c>
      <c r="B54" s="1764">
        <v>208</v>
      </c>
      <c r="C54" s="1765">
        <v>0.2</v>
      </c>
      <c r="D54" s="2336" t="s">
        <v>585</v>
      </c>
      <c r="E54" s="2169">
        <v>14</v>
      </c>
      <c r="F54" s="794"/>
      <c r="G54" s="781"/>
      <c r="H54" s="781"/>
      <c r="I54" s="781"/>
      <c r="J54" s="781"/>
      <c r="K54" s="2342"/>
      <c r="L54" s="2169"/>
      <c r="M54" s="794"/>
      <c r="N54" s="781"/>
      <c r="O54" s="781"/>
      <c r="P54" s="781">
        <v>25</v>
      </c>
      <c r="Q54" s="781">
        <v>50</v>
      </c>
      <c r="R54" s="2342"/>
      <c r="S54" s="2169"/>
      <c r="T54" s="794"/>
      <c r="U54" s="781"/>
      <c r="V54" s="781"/>
      <c r="W54" s="781"/>
      <c r="X54" s="781"/>
      <c r="Y54" s="790"/>
      <c r="Z54" s="2169"/>
      <c r="AA54" s="2960"/>
      <c r="AB54" s="2974"/>
      <c r="AC54" s="2974"/>
      <c r="AD54" s="2974"/>
      <c r="AE54" s="2974"/>
      <c r="AF54" s="2975"/>
      <c r="AG54" s="306"/>
    </row>
    <row r="55" spans="1:33" s="261" customFormat="1">
      <c r="A55" s="322">
        <v>8</v>
      </c>
      <c r="B55" s="1764">
        <v>209</v>
      </c>
      <c r="C55" s="1765">
        <v>0.1</v>
      </c>
      <c r="D55" s="2336" t="s">
        <v>276</v>
      </c>
      <c r="E55" s="2169"/>
      <c r="F55" s="794"/>
      <c r="G55" s="781"/>
      <c r="H55" s="781"/>
      <c r="I55" s="781"/>
      <c r="J55" s="781"/>
      <c r="K55" s="2342"/>
      <c r="L55" s="2169"/>
      <c r="M55" s="794"/>
      <c r="N55" s="781"/>
      <c r="O55" s="781"/>
      <c r="P55" s="781"/>
      <c r="Q55" s="781"/>
      <c r="R55" s="2342"/>
      <c r="S55" s="2169"/>
      <c r="T55" s="794"/>
      <c r="U55" s="781"/>
      <c r="V55" s="781"/>
      <c r="W55" s="781"/>
      <c r="X55" s="781"/>
      <c r="Y55" s="790"/>
      <c r="Z55" s="2169"/>
      <c r="AA55" s="2960"/>
      <c r="AB55" s="2974"/>
      <c r="AC55" s="2974"/>
      <c r="AD55" s="2974"/>
      <c r="AE55" s="2974"/>
      <c r="AF55" s="2975"/>
      <c r="AG55" s="306"/>
    </row>
    <row r="56" spans="1:33" s="261" customFormat="1">
      <c r="A56" s="322">
        <v>9</v>
      </c>
      <c r="B56" s="1764">
        <v>212</v>
      </c>
      <c r="C56" s="1765">
        <v>0.2</v>
      </c>
      <c r="D56" s="2339" t="s">
        <v>277</v>
      </c>
      <c r="E56" s="2169">
        <v>14</v>
      </c>
      <c r="F56" s="794"/>
      <c r="G56" s="781"/>
      <c r="H56" s="781"/>
      <c r="I56" s="781">
        <v>75</v>
      </c>
      <c r="J56" s="781">
        <v>40</v>
      </c>
      <c r="K56" s="2342">
        <v>5</v>
      </c>
      <c r="L56" s="2169">
        <v>1</v>
      </c>
      <c r="M56" s="794"/>
      <c r="N56" s="781"/>
      <c r="O56" s="781"/>
      <c r="P56" s="781"/>
      <c r="Q56" s="781">
        <v>15</v>
      </c>
      <c r="R56" s="2342">
        <v>5</v>
      </c>
      <c r="S56" s="2169"/>
      <c r="T56" s="794"/>
      <c r="U56" s="781"/>
      <c r="V56" s="781"/>
      <c r="W56" s="781"/>
      <c r="X56" s="781"/>
      <c r="Y56" s="790"/>
      <c r="Z56" s="2169"/>
      <c r="AA56" s="2960"/>
      <c r="AB56" s="2974"/>
      <c r="AC56" s="2974"/>
      <c r="AD56" s="2974"/>
      <c r="AE56" s="2974"/>
      <c r="AF56" s="2975"/>
      <c r="AG56" s="306"/>
    </row>
    <row r="57" spans="1:33" s="261" customFormat="1">
      <c r="A57" s="322">
        <v>10</v>
      </c>
      <c r="B57" s="1764">
        <v>213</v>
      </c>
      <c r="C57" s="1765">
        <v>0.2</v>
      </c>
      <c r="D57" s="2333" t="s">
        <v>278</v>
      </c>
      <c r="E57" s="2169"/>
      <c r="F57" s="794"/>
      <c r="G57" s="781"/>
      <c r="H57" s="781"/>
      <c r="I57" s="781"/>
      <c r="J57" s="781"/>
      <c r="K57" s="2342"/>
      <c r="L57" s="2169"/>
      <c r="M57" s="794"/>
      <c r="N57" s="781"/>
      <c r="O57" s="781"/>
      <c r="P57" s="781"/>
      <c r="Q57" s="781"/>
      <c r="R57" s="2342"/>
      <c r="S57" s="2169"/>
      <c r="T57" s="794"/>
      <c r="U57" s="781"/>
      <c r="V57" s="781"/>
      <c r="W57" s="781"/>
      <c r="X57" s="781"/>
      <c r="Y57" s="790"/>
      <c r="Z57" s="2169"/>
      <c r="AA57" s="2960"/>
      <c r="AB57" s="2974"/>
      <c r="AC57" s="2974"/>
      <c r="AD57" s="2974"/>
      <c r="AE57" s="2974"/>
      <c r="AF57" s="2975"/>
      <c r="AG57" s="306"/>
    </row>
    <row r="58" spans="1:33" s="261" customFormat="1" ht="25.5">
      <c r="A58" s="322">
        <v>11</v>
      </c>
      <c r="B58" s="1764">
        <v>215</v>
      </c>
      <c r="C58" s="1765">
        <v>0.2</v>
      </c>
      <c r="D58" s="2333" t="s">
        <v>911</v>
      </c>
      <c r="E58" s="2169"/>
      <c r="F58" s="794"/>
      <c r="G58" s="781"/>
      <c r="H58" s="781"/>
      <c r="I58" s="781"/>
      <c r="J58" s="781"/>
      <c r="K58" s="2342"/>
      <c r="L58" s="2169"/>
      <c r="M58" s="794"/>
      <c r="N58" s="781"/>
      <c r="O58" s="781"/>
      <c r="P58" s="781"/>
      <c r="Q58" s="781"/>
      <c r="R58" s="2342"/>
      <c r="S58" s="2169"/>
      <c r="T58" s="794"/>
      <c r="U58" s="781"/>
      <c r="V58" s="781"/>
      <c r="W58" s="781"/>
      <c r="X58" s="781"/>
      <c r="Y58" s="790"/>
      <c r="Z58" s="2169"/>
      <c r="AA58" s="2960"/>
      <c r="AB58" s="2974"/>
      <c r="AC58" s="2974"/>
      <c r="AD58" s="2974"/>
      <c r="AE58" s="2974"/>
      <c r="AF58" s="2975"/>
      <c r="AG58" s="306"/>
    </row>
    <row r="59" spans="1:33" s="261" customFormat="1" ht="13.5" thickBot="1">
      <c r="A59" s="322">
        <v>12</v>
      </c>
      <c r="B59" s="333">
        <v>219</v>
      </c>
      <c r="C59" s="334">
        <v>0.1</v>
      </c>
      <c r="D59" s="2340" t="s">
        <v>279</v>
      </c>
      <c r="E59" s="2170"/>
      <c r="F59" s="794"/>
      <c r="G59" s="781"/>
      <c r="H59" s="781"/>
      <c r="I59" s="781">
        <v>190</v>
      </c>
      <c r="J59" s="781">
        <v>110</v>
      </c>
      <c r="K59" s="2342"/>
      <c r="L59" s="2170"/>
      <c r="M59" s="794"/>
      <c r="N59" s="781"/>
      <c r="O59" s="781"/>
      <c r="P59" s="781"/>
      <c r="Q59" s="781"/>
      <c r="R59" s="2342"/>
      <c r="S59" s="2170"/>
      <c r="T59" s="794"/>
      <c r="U59" s="781"/>
      <c r="V59" s="781"/>
      <c r="W59" s="781"/>
      <c r="X59" s="781"/>
      <c r="Y59" s="790"/>
      <c r="Z59" s="2170"/>
      <c r="AA59" s="2976"/>
      <c r="AB59" s="2977"/>
      <c r="AC59" s="2977"/>
      <c r="AD59" s="2977"/>
      <c r="AE59" s="2977"/>
      <c r="AF59" s="2978"/>
      <c r="AG59" s="306"/>
    </row>
    <row r="60" spans="1:33" s="297" customFormat="1" ht="15" thickBot="1">
      <c r="A60" s="1747" t="s">
        <v>269</v>
      </c>
      <c r="B60" s="257"/>
      <c r="C60" s="257"/>
      <c r="D60" s="247" t="s">
        <v>281</v>
      </c>
      <c r="E60" s="339">
        <f t="shared" ref="E60:AF60" si="14">E61+E64+E67+E79+E94+E99+SUM(E103:E108)</f>
        <v>34</v>
      </c>
      <c r="F60" s="568">
        <f t="shared" si="14"/>
        <v>94.940000000000012</v>
      </c>
      <c r="G60" s="249">
        <f t="shared" si="14"/>
        <v>94.940000000000012</v>
      </c>
      <c r="H60" s="249">
        <f t="shared" si="14"/>
        <v>90.940000000000012</v>
      </c>
      <c r="I60" s="249">
        <f t="shared" si="14"/>
        <v>56.940000000000019</v>
      </c>
      <c r="J60" s="249">
        <f t="shared" si="14"/>
        <v>37.940000000000019</v>
      </c>
      <c r="K60" s="1961">
        <f t="shared" si="14"/>
        <v>35.940000000000019</v>
      </c>
      <c r="L60" s="340">
        <f t="shared" si="14"/>
        <v>0.2</v>
      </c>
      <c r="M60" s="248">
        <f t="shared" si="14"/>
        <v>1.8499999999999999</v>
      </c>
      <c r="N60" s="249">
        <f t="shared" si="14"/>
        <v>1.8499999999999999</v>
      </c>
      <c r="O60" s="249">
        <f t="shared" si="14"/>
        <v>-2.15</v>
      </c>
      <c r="P60" s="249">
        <f t="shared" si="14"/>
        <v>-8.15</v>
      </c>
      <c r="Q60" s="249">
        <f t="shared" si="14"/>
        <v>-21.150000000000002</v>
      </c>
      <c r="R60" s="250">
        <f t="shared" si="14"/>
        <v>-41.550000000000004</v>
      </c>
      <c r="S60" s="340">
        <f t="shared" si="14"/>
        <v>0</v>
      </c>
      <c r="T60" s="251">
        <f t="shared" si="14"/>
        <v>0</v>
      </c>
      <c r="U60" s="249">
        <f t="shared" si="14"/>
        <v>0</v>
      </c>
      <c r="V60" s="249">
        <f t="shared" si="14"/>
        <v>0</v>
      </c>
      <c r="W60" s="249">
        <f t="shared" si="14"/>
        <v>0</v>
      </c>
      <c r="X60" s="249">
        <f t="shared" si="14"/>
        <v>-0.5</v>
      </c>
      <c r="Y60" s="250">
        <f t="shared" si="14"/>
        <v>-1.5</v>
      </c>
      <c r="Z60" s="340">
        <f t="shared" si="14"/>
        <v>0</v>
      </c>
      <c r="AA60" s="251">
        <f t="shared" si="14"/>
        <v>0</v>
      </c>
      <c r="AB60" s="249">
        <f t="shared" si="14"/>
        <v>0</v>
      </c>
      <c r="AC60" s="249">
        <f t="shared" si="14"/>
        <v>0</v>
      </c>
      <c r="AD60" s="249">
        <f t="shared" si="14"/>
        <v>0</v>
      </c>
      <c r="AE60" s="249">
        <f t="shared" si="14"/>
        <v>0</v>
      </c>
      <c r="AF60" s="250">
        <f t="shared" si="14"/>
        <v>0</v>
      </c>
      <c r="AG60" s="306"/>
    </row>
    <row r="61" spans="1:33" s="261" customFormat="1">
      <c r="A61" s="299">
        <v>1</v>
      </c>
      <c r="B61" s="299">
        <v>201</v>
      </c>
      <c r="C61" s="300">
        <v>0</v>
      </c>
      <c r="D61" s="301" t="s">
        <v>280</v>
      </c>
      <c r="E61" s="587">
        <f t="shared" ref="E61:Z61" si="15">SUM(E62:E63)</f>
        <v>0</v>
      </c>
      <c r="F61" s="574">
        <f t="shared" si="15"/>
        <v>0</v>
      </c>
      <c r="G61" s="303">
        <f t="shared" si="15"/>
        <v>0</v>
      </c>
      <c r="H61" s="303">
        <f t="shared" si="15"/>
        <v>0</v>
      </c>
      <c r="I61" s="303">
        <f t="shared" si="15"/>
        <v>0</v>
      </c>
      <c r="J61" s="303">
        <f t="shared" si="15"/>
        <v>0</v>
      </c>
      <c r="K61" s="1957">
        <f t="shared" si="15"/>
        <v>0</v>
      </c>
      <c r="L61" s="588">
        <f t="shared" si="15"/>
        <v>0</v>
      </c>
      <c r="M61" s="302">
        <f t="shared" si="15"/>
        <v>0</v>
      </c>
      <c r="N61" s="303">
        <f t="shared" si="15"/>
        <v>0</v>
      </c>
      <c r="O61" s="303">
        <f t="shared" si="15"/>
        <v>0</v>
      </c>
      <c r="P61" s="303">
        <f t="shared" si="15"/>
        <v>0</v>
      </c>
      <c r="Q61" s="303">
        <f t="shared" si="15"/>
        <v>0</v>
      </c>
      <c r="R61" s="304">
        <f t="shared" si="15"/>
        <v>0</v>
      </c>
      <c r="S61" s="588">
        <f t="shared" si="15"/>
        <v>0</v>
      </c>
      <c r="T61" s="302">
        <f t="shared" si="15"/>
        <v>0</v>
      </c>
      <c r="U61" s="303">
        <f t="shared" si="15"/>
        <v>0</v>
      </c>
      <c r="V61" s="303">
        <f t="shared" si="15"/>
        <v>0</v>
      </c>
      <c r="W61" s="303">
        <f t="shared" si="15"/>
        <v>0</v>
      </c>
      <c r="X61" s="303">
        <f t="shared" si="15"/>
        <v>0</v>
      </c>
      <c r="Y61" s="304">
        <f t="shared" si="15"/>
        <v>0</v>
      </c>
      <c r="Z61" s="588">
        <f t="shared" si="15"/>
        <v>0</v>
      </c>
      <c r="AA61" s="2961"/>
      <c r="AB61" s="2972"/>
      <c r="AC61" s="2972"/>
      <c r="AD61" s="2972"/>
      <c r="AE61" s="2972"/>
      <c r="AF61" s="2973"/>
      <c r="AG61" s="305"/>
    </row>
    <row r="62" spans="1:33" s="293" customFormat="1">
      <c r="A62" s="262"/>
      <c r="B62" s="262">
        <v>20101</v>
      </c>
      <c r="C62" s="263">
        <v>0</v>
      </c>
      <c r="D62" s="605" t="s">
        <v>758</v>
      </c>
      <c r="E62" s="2169"/>
      <c r="F62" s="603">
        <f>($E13*$C62)-(F13*$C62)</f>
        <v>0</v>
      </c>
      <c r="G62" s="585">
        <f t="shared" ref="G62:K63" si="16">F62-(G13*$C62)</f>
        <v>0</v>
      </c>
      <c r="H62" s="269">
        <f t="shared" si="16"/>
        <v>0</v>
      </c>
      <c r="I62" s="269">
        <f t="shared" si="16"/>
        <v>0</v>
      </c>
      <c r="J62" s="269">
        <f t="shared" si="16"/>
        <v>0</v>
      </c>
      <c r="K62" s="332">
        <f t="shared" si="16"/>
        <v>0</v>
      </c>
      <c r="L62" s="2169"/>
      <c r="M62" s="512">
        <f>($L13*$C62)-(M13*$C62)</f>
        <v>0</v>
      </c>
      <c r="N62" s="585">
        <f t="shared" ref="N62:R63" si="17">M62-(N13*$C62)</f>
        <v>0</v>
      </c>
      <c r="O62" s="269">
        <f t="shared" si="17"/>
        <v>0</v>
      </c>
      <c r="P62" s="269">
        <f t="shared" si="17"/>
        <v>0</v>
      </c>
      <c r="Q62" s="269">
        <f t="shared" si="17"/>
        <v>0</v>
      </c>
      <c r="R62" s="270">
        <f t="shared" si="17"/>
        <v>0</v>
      </c>
      <c r="S62" s="2169"/>
      <c r="T62" s="512">
        <f>($S13*$C62)-(T13*$C62)</f>
        <v>0</v>
      </c>
      <c r="U62" s="585">
        <f t="shared" ref="U62:Y63" si="18">T62-(U13*$C62)</f>
        <v>0</v>
      </c>
      <c r="V62" s="269">
        <f t="shared" si="18"/>
        <v>0</v>
      </c>
      <c r="W62" s="269">
        <f t="shared" si="18"/>
        <v>0</v>
      </c>
      <c r="X62" s="269">
        <f t="shared" si="18"/>
        <v>0</v>
      </c>
      <c r="Y62" s="270">
        <f t="shared" si="18"/>
        <v>0</v>
      </c>
      <c r="Z62" s="2169"/>
      <c r="AA62" s="2960"/>
      <c r="AB62" s="2974"/>
      <c r="AC62" s="2974"/>
      <c r="AD62" s="2974"/>
      <c r="AE62" s="2974"/>
      <c r="AF62" s="2975"/>
      <c r="AG62" s="510"/>
    </row>
    <row r="63" spans="1:33" s="293" customFormat="1">
      <c r="A63" s="262"/>
      <c r="B63" s="262">
        <v>20102</v>
      </c>
      <c r="C63" s="263">
        <v>0</v>
      </c>
      <c r="D63" s="321" t="s">
        <v>760</v>
      </c>
      <c r="E63" s="2169"/>
      <c r="F63" s="512">
        <f>($E14*$C63)-(F14*$C63)</f>
        <v>0</v>
      </c>
      <c r="G63" s="269">
        <f t="shared" si="16"/>
        <v>0</v>
      </c>
      <c r="H63" s="269">
        <f t="shared" si="16"/>
        <v>0</v>
      </c>
      <c r="I63" s="269">
        <f t="shared" si="16"/>
        <v>0</v>
      </c>
      <c r="J63" s="269">
        <f t="shared" si="16"/>
        <v>0</v>
      </c>
      <c r="K63" s="332">
        <f t="shared" si="16"/>
        <v>0</v>
      </c>
      <c r="L63" s="2169"/>
      <c r="M63" s="512">
        <f>($L14*$C63)-(M14*$C63)</f>
        <v>0</v>
      </c>
      <c r="N63" s="269">
        <f t="shared" si="17"/>
        <v>0</v>
      </c>
      <c r="O63" s="269">
        <f t="shared" si="17"/>
        <v>0</v>
      </c>
      <c r="P63" s="269">
        <f t="shared" si="17"/>
        <v>0</v>
      </c>
      <c r="Q63" s="269">
        <f t="shared" si="17"/>
        <v>0</v>
      </c>
      <c r="R63" s="270">
        <f t="shared" si="17"/>
        <v>0</v>
      </c>
      <c r="S63" s="2169"/>
      <c r="T63" s="512">
        <f>($S14*$C63)-(T14*$C63)</f>
        <v>0</v>
      </c>
      <c r="U63" s="269">
        <f t="shared" si="18"/>
        <v>0</v>
      </c>
      <c r="V63" s="269">
        <f t="shared" si="18"/>
        <v>0</v>
      </c>
      <c r="W63" s="269">
        <f t="shared" si="18"/>
        <v>0</v>
      </c>
      <c r="X63" s="269">
        <f t="shared" si="18"/>
        <v>0</v>
      </c>
      <c r="Y63" s="270">
        <f t="shared" si="18"/>
        <v>0</v>
      </c>
      <c r="Z63" s="2169"/>
      <c r="AA63" s="2960"/>
      <c r="AB63" s="2974"/>
      <c r="AC63" s="2974"/>
      <c r="AD63" s="2974"/>
      <c r="AE63" s="2974"/>
      <c r="AF63" s="2975"/>
      <c r="AG63" s="508"/>
    </row>
    <row r="64" spans="1:33" s="261" customFormat="1">
      <c r="A64" s="307">
        <v>2</v>
      </c>
      <c r="B64" s="307">
        <v>202</v>
      </c>
      <c r="C64" s="308">
        <v>0.03</v>
      </c>
      <c r="D64" s="309" t="s">
        <v>576</v>
      </c>
      <c r="E64" s="569">
        <f>SUM(E65:E66)</f>
        <v>0</v>
      </c>
      <c r="F64" s="569">
        <f>SUM(F65:F66)</f>
        <v>0.84</v>
      </c>
      <c r="G64" s="311">
        <f t="shared" ref="G64:Z64" si="19">SUM(G65:G66)</f>
        <v>0.84</v>
      </c>
      <c r="H64" s="311">
        <f t="shared" si="19"/>
        <v>0.84</v>
      </c>
      <c r="I64" s="311">
        <f t="shared" si="19"/>
        <v>0.84</v>
      </c>
      <c r="J64" s="311">
        <f t="shared" si="19"/>
        <v>0.84</v>
      </c>
      <c r="K64" s="1958">
        <f t="shared" si="19"/>
        <v>0.84</v>
      </c>
      <c r="L64" s="341">
        <f t="shared" si="19"/>
        <v>0</v>
      </c>
      <c r="M64" s="310">
        <f t="shared" si="19"/>
        <v>0.03</v>
      </c>
      <c r="N64" s="311">
        <f t="shared" si="19"/>
        <v>0.03</v>
      </c>
      <c r="O64" s="311">
        <f t="shared" si="19"/>
        <v>0.03</v>
      </c>
      <c r="P64" s="311">
        <f t="shared" si="19"/>
        <v>0.03</v>
      </c>
      <c r="Q64" s="311">
        <f t="shared" si="19"/>
        <v>0.03</v>
      </c>
      <c r="R64" s="312">
        <f t="shared" si="19"/>
        <v>0.03</v>
      </c>
      <c r="S64" s="341">
        <f t="shared" si="19"/>
        <v>0</v>
      </c>
      <c r="T64" s="313">
        <f t="shared" si="19"/>
        <v>0</v>
      </c>
      <c r="U64" s="311">
        <f t="shared" si="19"/>
        <v>0</v>
      </c>
      <c r="V64" s="311">
        <f t="shared" si="19"/>
        <v>0</v>
      </c>
      <c r="W64" s="311">
        <f t="shared" si="19"/>
        <v>0</v>
      </c>
      <c r="X64" s="311">
        <f t="shared" si="19"/>
        <v>0</v>
      </c>
      <c r="Y64" s="312">
        <f t="shared" si="19"/>
        <v>0</v>
      </c>
      <c r="Z64" s="341">
        <f t="shared" si="19"/>
        <v>0</v>
      </c>
      <c r="AA64" s="2960"/>
      <c r="AB64" s="2974"/>
      <c r="AC64" s="2974"/>
      <c r="AD64" s="2974"/>
      <c r="AE64" s="2974"/>
      <c r="AF64" s="2975"/>
      <c r="AG64" s="509"/>
    </row>
    <row r="65" spans="1:33" s="338" customFormat="1">
      <c r="A65" s="265"/>
      <c r="B65" s="265">
        <v>20201</v>
      </c>
      <c r="C65" s="266">
        <v>0.03</v>
      </c>
      <c r="D65" s="283" t="s">
        <v>597</v>
      </c>
      <c r="E65" s="2169"/>
      <c r="F65" s="512">
        <f>($E16*$C65)-(F16*$C65)</f>
        <v>0.84</v>
      </c>
      <c r="G65" s="269">
        <f t="shared" ref="G65:K66" si="20">F65-(G16*$C65)</f>
        <v>0.84</v>
      </c>
      <c r="H65" s="269">
        <f t="shared" si="20"/>
        <v>0.84</v>
      </c>
      <c r="I65" s="269">
        <f t="shared" si="20"/>
        <v>0.84</v>
      </c>
      <c r="J65" s="269">
        <f t="shared" si="20"/>
        <v>0.84</v>
      </c>
      <c r="K65" s="332">
        <f t="shared" si="20"/>
        <v>0.84</v>
      </c>
      <c r="L65" s="2169"/>
      <c r="M65" s="512">
        <f>($L16*$C65)-(M16*$C65)</f>
        <v>0.03</v>
      </c>
      <c r="N65" s="269">
        <f t="shared" ref="N65:R66" si="21">M65-(N16*$C65)</f>
        <v>0.03</v>
      </c>
      <c r="O65" s="269">
        <f t="shared" si="21"/>
        <v>0.03</v>
      </c>
      <c r="P65" s="269">
        <f t="shared" si="21"/>
        <v>0.03</v>
      </c>
      <c r="Q65" s="269">
        <f t="shared" si="21"/>
        <v>0.03</v>
      </c>
      <c r="R65" s="270">
        <f t="shared" si="21"/>
        <v>0.03</v>
      </c>
      <c r="S65" s="2169"/>
      <c r="T65" s="512">
        <f>($S16*$C65)-(T16*$C65)</f>
        <v>0</v>
      </c>
      <c r="U65" s="269">
        <f t="shared" ref="U65:Y66" si="22">T65-(U16*$C65)</f>
        <v>0</v>
      </c>
      <c r="V65" s="269">
        <f t="shared" si="22"/>
        <v>0</v>
      </c>
      <c r="W65" s="269">
        <f t="shared" si="22"/>
        <v>0</v>
      </c>
      <c r="X65" s="269">
        <f t="shared" si="22"/>
        <v>0</v>
      </c>
      <c r="Y65" s="270">
        <f t="shared" si="22"/>
        <v>0</v>
      </c>
      <c r="Z65" s="2169"/>
      <c r="AA65" s="2960"/>
      <c r="AB65" s="2974"/>
      <c r="AC65" s="2974"/>
      <c r="AD65" s="2974"/>
      <c r="AE65" s="2974"/>
      <c r="AF65" s="2975"/>
      <c r="AG65" s="508"/>
    </row>
    <row r="66" spans="1:33" s="338" customFormat="1">
      <c r="A66" s="265"/>
      <c r="B66" s="265">
        <v>20202</v>
      </c>
      <c r="C66" s="266">
        <v>0.03</v>
      </c>
      <c r="D66" s="283" t="s">
        <v>598</v>
      </c>
      <c r="E66" s="2169"/>
      <c r="F66" s="512">
        <f>($E17*$C66)-(F17*$C66)</f>
        <v>0</v>
      </c>
      <c r="G66" s="269">
        <f t="shared" si="20"/>
        <v>0</v>
      </c>
      <c r="H66" s="269">
        <f t="shared" si="20"/>
        <v>0</v>
      </c>
      <c r="I66" s="269">
        <f t="shared" si="20"/>
        <v>0</v>
      </c>
      <c r="J66" s="269">
        <f t="shared" si="20"/>
        <v>0</v>
      </c>
      <c r="K66" s="332">
        <f t="shared" si="20"/>
        <v>0</v>
      </c>
      <c r="L66" s="2169"/>
      <c r="M66" s="512">
        <f>($L17*$C66)-(M17*$C66)</f>
        <v>0</v>
      </c>
      <c r="N66" s="269">
        <f t="shared" si="21"/>
        <v>0</v>
      </c>
      <c r="O66" s="269">
        <f t="shared" si="21"/>
        <v>0</v>
      </c>
      <c r="P66" s="269">
        <f t="shared" si="21"/>
        <v>0</v>
      </c>
      <c r="Q66" s="269">
        <f t="shared" si="21"/>
        <v>0</v>
      </c>
      <c r="R66" s="270">
        <f t="shared" si="21"/>
        <v>0</v>
      </c>
      <c r="S66" s="2169"/>
      <c r="T66" s="512">
        <f>($S17*$C66)-(T17*$C66)</f>
        <v>0</v>
      </c>
      <c r="U66" s="269">
        <f t="shared" si="22"/>
        <v>0</v>
      </c>
      <c r="V66" s="269">
        <f t="shared" si="22"/>
        <v>0</v>
      </c>
      <c r="W66" s="269">
        <f t="shared" si="22"/>
        <v>0</v>
      </c>
      <c r="X66" s="269">
        <f t="shared" si="22"/>
        <v>0</v>
      </c>
      <c r="Y66" s="270">
        <f t="shared" si="22"/>
        <v>0</v>
      </c>
      <c r="Z66" s="2169"/>
      <c r="AA66" s="2960"/>
      <c r="AB66" s="2974"/>
      <c r="AC66" s="2974"/>
      <c r="AD66" s="2974"/>
      <c r="AE66" s="2974"/>
      <c r="AF66" s="2975"/>
      <c r="AG66" s="508"/>
    </row>
    <row r="67" spans="1:33" s="316" customFormat="1" ht="12.75" customHeight="1">
      <c r="A67" s="314">
        <v>3</v>
      </c>
      <c r="B67" s="307">
        <v>203</v>
      </c>
      <c r="C67" s="308"/>
      <c r="D67" s="315" t="s">
        <v>577</v>
      </c>
      <c r="E67" s="342">
        <f>SUM(E68:E78)-E71-E74</f>
        <v>20</v>
      </c>
      <c r="F67" s="569">
        <f t="shared" ref="F67:Z67" si="23">SUM(F68:F78)-F71-F74</f>
        <v>46.400000000000006</v>
      </c>
      <c r="G67" s="311">
        <f t="shared" si="23"/>
        <v>46.400000000000006</v>
      </c>
      <c r="H67" s="311">
        <f t="shared" si="23"/>
        <v>46.400000000000006</v>
      </c>
      <c r="I67" s="311">
        <f t="shared" si="23"/>
        <v>46.400000000000006</v>
      </c>
      <c r="J67" s="311">
        <f t="shared" si="23"/>
        <v>46.400000000000006</v>
      </c>
      <c r="K67" s="1958">
        <f t="shared" si="23"/>
        <v>45.400000000000006</v>
      </c>
      <c r="L67" s="341">
        <f t="shared" si="23"/>
        <v>0</v>
      </c>
      <c r="M67" s="310">
        <f t="shared" si="23"/>
        <v>0.1</v>
      </c>
      <c r="N67" s="311">
        <f t="shared" si="23"/>
        <v>0.1</v>
      </c>
      <c r="O67" s="311">
        <f t="shared" si="23"/>
        <v>-3.9</v>
      </c>
      <c r="P67" s="311">
        <f t="shared" si="23"/>
        <v>-4.9000000000000004</v>
      </c>
      <c r="Q67" s="311">
        <f t="shared" si="23"/>
        <v>-4.9000000000000004</v>
      </c>
      <c r="R67" s="312">
        <f t="shared" si="23"/>
        <v>-4.9000000000000004</v>
      </c>
      <c r="S67" s="341">
        <f t="shared" si="23"/>
        <v>0</v>
      </c>
      <c r="T67" s="313">
        <f t="shared" si="23"/>
        <v>0</v>
      </c>
      <c r="U67" s="311">
        <f t="shared" si="23"/>
        <v>0</v>
      </c>
      <c r="V67" s="311">
        <f t="shared" si="23"/>
        <v>0</v>
      </c>
      <c r="W67" s="311">
        <f t="shared" si="23"/>
        <v>0</v>
      </c>
      <c r="X67" s="311">
        <f t="shared" si="23"/>
        <v>-0.5</v>
      </c>
      <c r="Y67" s="312">
        <f t="shared" si="23"/>
        <v>-1.5</v>
      </c>
      <c r="Z67" s="341">
        <f t="shared" si="23"/>
        <v>0</v>
      </c>
      <c r="AA67" s="2960"/>
      <c r="AB67" s="2974"/>
      <c r="AC67" s="2974"/>
      <c r="AD67" s="2974"/>
      <c r="AE67" s="2974"/>
      <c r="AF67" s="2975"/>
      <c r="AG67" s="511"/>
    </row>
    <row r="68" spans="1:33" s="338" customFormat="1">
      <c r="A68" s="265"/>
      <c r="B68" s="265">
        <v>20301</v>
      </c>
      <c r="C68" s="266">
        <v>0.1</v>
      </c>
      <c r="D68" s="317" t="s">
        <v>599</v>
      </c>
      <c r="E68" s="2169">
        <v>2</v>
      </c>
      <c r="F68" s="512">
        <f>($E19*$C68)-(F19*$C68)</f>
        <v>3.2</v>
      </c>
      <c r="G68" s="269">
        <f t="shared" ref="G68:K70" si="24">F68-(G19*$C68)</f>
        <v>3.2</v>
      </c>
      <c r="H68" s="269">
        <f t="shared" si="24"/>
        <v>3.2</v>
      </c>
      <c r="I68" s="269">
        <f t="shared" si="24"/>
        <v>3.2</v>
      </c>
      <c r="J68" s="269">
        <f t="shared" si="24"/>
        <v>3.2</v>
      </c>
      <c r="K68" s="332">
        <f t="shared" si="24"/>
        <v>2.2000000000000002</v>
      </c>
      <c r="L68" s="2169"/>
      <c r="M68" s="512">
        <f>($L19*$C68)-(M19*$C68)</f>
        <v>0.1</v>
      </c>
      <c r="N68" s="269">
        <f t="shared" ref="N68:R70" si="25">M68-(N19*$C68)</f>
        <v>0.1</v>
      </c>
      <c r="O68" s="269">
        <f t="shared" si="25"/>
        <v>0.1</v>
      </c>
      <c r="P68" s="269">
        <f t="shared" si="25"/>
        <v>0.1</v>
      </c>
      <c r="Q68" s="269">
        <f t="shared" si="25"/>
        <v>0.1</v>
      </c>
      <c r="R68" s="270">
        <f t="shared" si="25"/>
        <v>0.1</v>
      </c>
      <c r="S68" s="2169"/>
      <c r="T68" s="512">
        <f>($S19*$C68)-(T19*$C68)</f>
        <v>0</v>
      </c>
      <c r="U68" s="269">
        <f t="shared" ref="U68:Y70" si="26">T68-(U19*$C68)</f>
        <v>0</v>
      </c>
      <c r="V68" s="269">
        <f t="shared" si="26"/>
        <v>0</v>
      </c>
      <c r="W68" s="269">
        <f t="shared" si="26"/>
        <v>0</v>
      </c>
      <c r="X68" s="269">
        <f t="shared" si="26"/>
        <v>0</v>
      </c>
      <c r="Y68" s="270">
        <f t="shared" si="26"/>
        <v>-1</v>
      </c>
      <c r="Z68" s="2169"/>
      <c r="AA68" s="2960"/>
      <c r="AB68" s="2974"/>
      <c r="AC68" s="2974"/>
      <c r="AD68" s="2974"/>
      <c r="AE68" s="2974"/>
      <c r="AF68" s="2975"/>
      <c r="AG68" s="306"/>
    </row>
    <row r="69" spans="1:33" s="338" customFormat="1">
      <c r="A69" s="265"/>
      <c r="B69" s="265">
        <v>20302</v>
      </c>
      <c r="C69" s="266">
        <v>0.1</v>
      </c>
      <c r="D69" s="317" t="s">
        <v>600</v>
      </c>
      <c r="E69" s="2169"/>
      <c r="F69" s="512">
        <f>($E20*$C69)-(F20*$C69)</f>
        <v>0</v>
      </c>
      <c r="G69" s="269">
        <f t="shared" si="24"/>
        <v>0</v>
      </c>
      <c r="H69" s="269">
        <f t="shared" si="24"/>
        <v>0</v>
      </c>
      <c r="I69" s="269">
        <f t="shared" si="24"/>
        <v>0</v>
      </c>
      <c r="J69" s="269">
        <f t="shared" si="24"/>
        <v>0</v>
      </c>
      <c r="K69" s="332">
        <f t="shared" si="24"/>
        <v>0</v>
      </c>
      <c r="L69" s="2169"/>
      <c r="M69" s="512">
        <f>($L20*$C69)-(M20*$C69)</f>
        <v>0</v>
      </c>
      <c r="N69" s="269">
        <f t="shared" si="25"/>
        <v>0</v>
      </c>
      <c r="O69" s="269">
        <f t="shared" si="25"/>
        <v>-4</v>
      </c>
      <c r="P69" s="269">
        <f t="shared" si="25"/>
        <v>-5</v>
      </c>
      <c r="Q69" s="269">
        <f t="shared" si="25"/>
        <v>-5</v>
      </c>
      <c r="R69" s="270">
        <f t="shared" si="25"/>
        <v>-5</v>
      </c>
      <c r="S69" s="2169"/>
      <c r="T69" s="512">
        <f>($S20*$C69)-(T20*$C69)</f>
        <v>0</v>
      </c>
      <c r="U69" s="269">
        <f t="shared" si="26"/>
        <v>0</v>
      </c>
      <c r="V69" s="269">
        <f t="shared" si="26"/>
        <v>0</v>
      </c>
      <c r="W69" s="269">
        <f t="shared" si="26"/>
        <v>0</v>
      </c>
      <c r="X69" s="269">
        <f t="shared" si="26"/>
        <v>0</v>
      </c>
      <c r="Y69" s="270">
        <f t="shared" si="26"/>
        <v>0</v>
      </c>
      <c r="Z69" s="2169"/>
      <c r="AA69" s="2960"/>
      <c r="AB69" s="2974"/>
      <c r="AC69" s="2974"/>
      <c r="AD69" s="2974"/>
      <c r="AE69" s="2974"/>
      <c r="AF69" s="2975"/>
      <c r="AG69" s="306"/>
    </row>
    <row r="70" spans="1:33" s="338" customFormat="1">
      <c r="A70" s="265"/>
      <c r="B70" s="265">
        <v>20303</v>
      </c>
      <c r="C70" s="266">
        <v>0.1</v>
      </c>
      <c r="D70" s="317" t="s">
        <v>578</v>
      </c>
      <c r="E70" s="2169">
        <v>13</v>
      </c>
      <c r="F70" s="512">
        <f>($E21*$C70)-(F21*$C70)</f>
        <v>37.800000000000004</v>
      </c>
      <c r="G70" s="269">
        <f t="shared" si="24"/>
        <v>37.800000000000004</v>
      </c>
      <c r="H70" s="269">
        <f t="shared" si="24"/>
        <v>37.800000000000004</v>
      </c>
      <c r="I70" s="269">
        <f t="shared" si="24"/>
        <v>37.800000000000004</v>
      </c>
      <c r="J70" s="269">
        <f t="shared" si="24"/>
        <v>37.800000000000004</v>
      </c>
      <c r="K70" s="332">
        <f t="shared" si="24"/>
        <v>37.800000000000004</v>
      </c>
      <c r="L70" s="2169"/>
      <c r="M70" s="512">
        <f>($L21*$C70)-(M21*$C70)</f>
        <v>0</v>
      </c>
      <c r="N70" s="269">
        <f t="shared" si="25"/>
        <v>0</v>
      </c>
      <c r="O70" s="269">
        <f t="shared" si="25"/>
        <v>0</v>
      </c>
      <c r="P70" s="269">
        <f t="shared" si="25"/>
        <v>0</v>
      </c>
      <c r="Q70" s="269">
        <f t="shared" si="25"/>
        <v>0</v>
      </c>
      <c r="R70" s="270">
        <f t="shared" si="25"/>
        <v>0</v>
      </c>
      <c r="S70" s="2169"/>
      <c r="T70" s="512">
        <f>($S21*$C70)-(T21*$C70)</f>
        <v>0</v>
      </c>
      <c r="U70" s="269">
        <f t="shared" si="26"/>
        <v>0</v>
      </c>
      <c r="V70" s="269">
        <f t="shared" si="26"/>
        <v>0</v>
      </c>
      <c r="W70" s="269">
        <f t="shared" si="26"/>
        <v>0</v>
      </c>
      <c r="X70" s="269">
        <f t="shared" si="26"/>
        <v>-0.5</v>
      </c>
      <c r="Y70" s="270">
        <f t="shared" si="26"/>
        <v>-0.5</v>
      </c>
      <c r="Z70" s="2169"/>
      <c r="AA70" s="2960"/>
      <c r="AB70" s="2974"/>
      <c r="AC70" s="2974"/>
      <c r="AD70" s="2974"/>
      <c r="AE70" s="2974"/>
      <c r="AF70" s="2975"/>
      <c r="AG70" s="306"/>
    </row>
    <row r="71" spans="1:33" s="338" customFormat="1">
      <c r="A71" s="265"/>
      <c r="B71" s="265">
        <v>20304</v>
      </c>
      <c r="C71" s="273">
        <v>0.1</v>
      </c>
      <c r="D71" s="317" t="s">
        <v>579</v>
      </c>
      <c r="E71" s="343">
        <f>SUM(E72:E73)</f>
        <v>0</v>
      </c>
      <c r="F71" s="570">
        <f t="shared" ref="F71:Z71" si="27">SUM(F72:F73)</f>
        <v>0</v>
      </c>
      <c r="G71" s="253">
        <f t="shared" si="27"/>
        <v>0</v>
      </c>
      <c r="H71" s="253">
        <f t="shared" si="27"/>
        <v>0</v>
      </c>
      <c r="I71" s="253">
        <f t="shared" si="27"/>
        <v>0</v>
      </c>
      <c r="J71" s="253">
        <f t="shared" si="27"/>
        <v>0</v>
      </c>
      <c r="K71" s="1959">
        <f t="shared" si="27"/>
        <v>0</v>
      </c>
      <c r="L71" s="344">
        <f t="shared" si="27"/>
        <v>0</v>
      </c>
      <c r="M71" s="252">
        <f t="shared" si="27"/>
        <v>0</v>
      </c>
      <c r="N71" s="253">
        <f t="shared" si="27"/>
        <v>0</v>
      </c>
      <c r="O71" s="253">
        <f t="shared" si="27"/>
        <v>0</v>
      </c>
      <c r="P71" s="253">
        <f t="shared" si="27"/>
        <v>0</v>
      </c>
      <c r="Q71" s="253">
        <f t="shared" si="27"/>
        <v>0</v>
      </c>
      <c r="R71" s="254">
        <f t="shared" si="27"/>
        <v>0</v>
      </c>
      <c r="S71" s="344">
        <f t="shared" si="27"/>
        <v>0</v>
      </c>
      <c r="T71" s="255">
        <f t="shared" si="27"/>
        <v>0</v>
      </c>
      <c r="U71" s="253">
        <f t="shared" si="27"/>
        <v>0</v>
      </c>
      <c r="V71" s="253">
        <f t="shared" si="27"/>
        <v>0</v>
      </c>
      <c r="W71" s="253">
        <f t="shared" si="27"/>
        <v>0</v>
      </c>
      <c r="X71" s="253">
        <f t="shared" si="27"/>
        <v>0</v>
      </c>
      <c r="Y71" s="254">
        <f t="shared" si="27"/>
        <v>0</v>
      </c>
      <c r="Z71" s="344">
        <f t="shared" si="27"/>
        <v>0</v>
      </c>
      <c r="AA71" s="2960"/>
      <c r="AB71" s="2974"/>
      <c r="AC71" s="2974"/>
      <c r="AD71" s="2974"/>
      <c r="AE71" s="2974"/>
      <c r="AF71" s="2975"/>
      <c r="AG71" s="306"/>
    </row>
    <row r="72" spans="1:33" s="338" customFormat="1">
      <c r="A72" s="265"/>
      <c r="B72" s="318">
        <v>2030401</v>
      </c>
      <c r="C72" s="319">
        <v>0.1</v>
      </c>
      <c r="D72" s="320" t="s">
        <v>1375</v>
      </c>
      <c r="E72" s="2169"/>
      <c r="F72" s="512">
        <f>($E23*$C72)-(F23*$C72)</f>
        <v>0</v>
      </c>
      <c r="G72" s="269">
        <f t="shared" ref="G72:K73" si="28">F72-(G23*$C72)</f>
        <v>0</v>
      </c>
      <c r="H72" s="269">
        <f t="shared" si="28"/>
        <v>0</v>
      </c>
      <c r="I72" s="269">
        <f t="shared" si="28"/>
        <v>0</v>
      </c>
      <c r="J72" s="269">
        <f t="shared" si="28"/>
        <v>0</v>
      </c>
      <c r="K72" s="332">
        <f t="shared" si="28"/>
        <v>0</v>
      </c>
      <c r="L72" s="2169"/>
      <c r="M72" s="512">
        <f>($L23*$C72)-(M23*$C72)</f>
        <v>0</v>
      </c>
      <c r="N72" s="269">
        <f t="shared" ref="N72:R73" si="29">M72-(N23*$C72)</f>
        <v>0</v>
      </c>
      <c r="O72" s="269">
        <f t="shared" si="29"/>
        <v>0</v>
      </c>
      <c r="P72" s="269">
        <f t="shared" si="29"/>
        <v>0</v>
      </c>
      <c r="Q72" s="269">
        <f t="shared" si="29"/>
        <v>0</v>
      </c>
      <c r="R72" s="270">
        <f t="shared" si="29"/>
        <v>0</v>
      </c>
      <c r="S72" s="2169"/>
      <c r="T72" s="512">
        <f>($S23*$C72)-(T23*$C72)</f>
        <v>0</v>
      </c>
      <c r="U72" s="269">
        <f t="shared" ref="U72:Y73" si="30">T72-(U23*$C72)</f>
        <v>0</v>
      </c>
      <c r="V72" s="269">
        <f t="shared" si="30"/>
        <v>0</v>
      </c>
      <c r="W72" s="269">
        <f t="shared" si="30"/>
        <v>0</v>
      </c>
      <c r="X72" s="269">
        <f t="shared" si="30"/>
        <v>0</v>
      </c>
      <c r="Y72" s="270">
        <f t="shared" si="30"/>
        <v>0</v>
      </c>
      <c r="Z72" s="2169"/>
      <c r="AA72" s="2960"/>
      <c r="AB72" s="2974"/>
      <c r="AC72" s="2974"/>
      <c r="AD72" s="2974"/>
      <c r="AE72" s="2974"/>
      <c r="AF72" s="2975"/>
      <c r="AG72" s="306"/>
    </row>
    <row r="73" spans="1:33" s="338" customFormat="1">
      <c r="A73" s="265"/>
      <c r="B73" s="318">
        <v>2030402</v>
      </c>
      <c r="C73" s="319">
        <v>0.1</v>
      </c>
      <c r="D73" s="320" t="s">
        <v>601</v>
      </c>
      <c r="E73" s="2169"/>
      <c r="F73" s="512">
        <f>($E24*$C73)-(F24*$C73)</f>
        <v>0</v>
      </c>
      <c r="G73" s="269">
        <f t="shared" si="28"/>
        <v>0</v>
      </c>
      <c r="H73" s="269">
        <f t="shared" si="28"/>
        <v>0</v>
      </c>
      <c r="I73" s="269">
        <f t="shared" si="28"/>
        <v>0</v>
      </c>
      <c r="J73" s="269">
        <f t="shared" si="28"/>
        <v>0</v>
      </c>
      <c r="K73" s="332">
        <f t="shared" si="28"/>
        <v>0</v>
      </c>
      <c r="L73" s="2169"/>
      <c r="M73" s="512">
        <f>($L24*$C73)-(M24*$C73)</f>
        <v>0</v>
      </c>
      <c r="N73" s="269">
        <f t="shared" si="29"/>
        <v>0</v>
      </c>
      <c r="O73" s="269">
        <f t="shared" si="29"/>
        <v>0</v>
      </c>
      <c r="P73" s="269">
        <f t="shared" si="29"/>
        <v>0</v>
      </c>
      <c r="Q73" s="269">
        <f t="shared" si="29"/>
        <v>0</v>
      </c>
      <c r="R73" s="270">
        <f t="shared" si="29"/>
        <v>0</v>
      </c>
      <c r="S73" s="2169"/>
      <c r="T73" s="512">
        <f>($S24*$C73)-(T24*$C73)</f>
        <v>0</v>
      </c>
      <c r="U73" s="269">
        <f t="shared" si="30"/>
        <v>0</v>
      </c>
      <c r="V73" s="269">
        <f t="shared" si="30"/>
        <v>0</v>
      </c>
      <c r="W73" s="269">
        <f t="shared" si="30"/>
        <v>0</v>
      </c>
      <c r="X73" s="269">
        <f t="shared" si="30"/>
        <v>0</v>
      </c>
      <c r="Y73" s="270">
        <f t="shared" si="30"/>
        <v>0</v>
      </c>
      <c r="Z73" s="2169"/>
      <c r="AA73" s="2960"/>
      <c r="AB73" s="2974"/>
      <c r="AC73" s="2974"/>
      <c r="AD73" s="2974"/>
      <c r="AE73" s="2974"/>
      <c r="AF73" s="2975"/>
      <c r="AG73" s="306"/>
    </row>
    <row r="74" spans="1:33" s="338" customFormat="1">
      <c r="A74" s="265"/>
      <c r="B74" s="265">
        <v>20305</v>
      </c>
      <c r="C74" s="273"/>
      <c r="D74" s="317" t="s">
        <v>602</v>
      </c>
      <c r="E74" s="343">
        <f>SUM(E75:E77)</f>
        <v>0</v>
      </c>
      <c r="F74" s="570">
        <f t="shared" ref="F74:Z74" si="31">SUM(F75:F77)</f>
        <v>0</v>
      </c>
      <c r="G74" s="253">
        <f t="shared" si="31"/>
        <v>0</v>
      </c>
      <c r="H74" s="253">
        <f t="shared" si="31"/>
        <v>0</v>
      </c>
      <c r="I74" s="253">
        <f t="shared" si="31"/>
        <v>0</v>
      </c>
      <c r="J74" s="253">
        <f t="shared" si="31"/>
        <v>0</v>
      </c>
      <c r="K74" s="1959">
        <f t="shared" si="31"/>
        <v>0</v>
      </c>
      <c r="L74" s="344">
        <f t="shared" si="31"/>
        <v>0</v>
      </c>
      <c r="M74" s="252">
        <f t="shared" si="31"/>
        <v>0</v>
      </c>
      <c r="N74" s="253">
        <f t="shared" si="31"/>
        <v>0</v>
      </c>
      <c r="O74" s="253">
        <f t="shared" si="31"/>
        <v>0</v>
      </c>
      <c r="P74" s="253">
        <f t="shared" si="31"/>
        <v>0</v>
      </c>
      <c r="Q74" s="253">
        <f t="shared" si="31"/>
        <v>0</v>
      </c>
      <c r="R74" s="254">
        <f t="shared" si="31"/>
        <v>0</v>
      </c>
      <c r="S74" s="344">
        <f t="shared" si="31"/>
        <v>0</v>
      </c>
      <c r="T74" s="255">
        <f t="shared" si="31"/>
        <v>0</v>
      </c>
      <c r="U74" s="253">
        <f t="shared" si="31"/>
        <v>0</v>
      </c>
      <c r="V74" s="253">
        <f t="shared" si="31"/>
        <v>0</v>
      </c>
      <c r="W74" s="253">
        <f t="shared" si="31"/>
        <v>0</v>
      </c>
      <c r="X74" s="253">
        <f t="shared" si="31"/>
        <v>0</v>
      </c>
      <c r="Y74" s="254">
        <f t="shared" si="31"/>
        <v>0</v>
      </c>
      <c r="Z74" s="344">
        <f t="shared" si="31"/>
        <v>0</v>
      </c>
      <c r="AA74" s="2960"/>
      <c r="AB74" s="2974"/>
      <c r="AC74" s="2974"/>
      <c r="AD74" s="2974"/>
      <c r="AE74" s="2974"/>
      <c r="AF74" s="2975"/>
      <c r="AG74" s="306"/>
    </row>
    <row r="75" spans="1:33" s="338" customFormat="1">
      <c r="A75" s="265"/>
      <c r="B75" s="265">
        <v>2030501</v>
      </c>
      <c r="C75" s="604">
        <v>0.1</v>
      </c>
      <c r="D75" s="320" t="s">
        <v>1391</v>
      </c>
      <c r="E75" s="2169"/>
      <c r="F75" s="512">
        <f>($E26*$C75)-(F26*$C75)</f>
        <v>0</v>
      </c>
      <c r="G75" s="269">
        <f t="shared" ref="G75:K78" si="32">F75-(G26*$C75)</f>
        <v>0</v>
      </c>
      <c r="H75" s="269">
        <f t="shared" si="32"/>
        <v>0</v>
      </c>
      <c r="I75" s="269">
        <f t="shared" si="32"/>
        <v>0</v>
      </c>
      <c r="J75" s="269">
        <f t="shared" si="32"/>
        <v>0</v>
      </c>
      <c r="K75" s="332">
        <f t="shared" si="32"/>
        <v>0</v>
      </c>
      <c r="L75" s="2169"/>
      <c r="M75" s="512">
        <f>($L26*$C75)-(M26*$C75)</f>
        <v>0</v>
      </c>
      <c r="N75" s="269">
        <f t="shared" ref="N75:R78" si="33">M75-(N26*$C75)</f>
        <v>0</v>
      </c>
      <c r="O75" s="269">
        <f t="shared" si="33"/>
        <v>0</v>
      </c>
      <c r="P75" s="269">
        <f t="shared" si="33"/>
        <v>0</v>
      </c>
      <c r="Q75" s="269">
        <f t="shared" si="33"/>
        <v>0</v>
      </c>
      <c r="R75" s="270">
        <f t="shared" si="33"/>
        <v>0</v>
      </c>
      <c r="S75" s="2169"/>
      <c r="T75" s="512">
        <f>($S26*$C75)-(T26*$C75)</f>
        <v>0</v>
      </c>
      <c r="U75" s="269">
        <f t="shared" ref="U75:Y78" si="34">T75-(U26*$C75)</f>
        <v>0</v>
      </c>
      <c r="V75" s="269">
        <f t="shared" si="34"/>
        <v>0</v>
      </c>
      <c r="W75" s="269">
        <f t="shared" si="34"/>
        <v>0</v>
      </c>
      <c r="X75" s="269">
        <f t="shared" si="34"/>
        <v>0</v>
      </c>
      <c r="Y75" s="270">
        <f t="shared" si="34"/>
        <v>0</v>
      </c>
      <c r="Z75" s="2169"/>
      <c r="AA75" s="2960"/>
      <c r="AB75" s="2974"/>
      <c r="AC75" s="2974"/>
      <c r="AD75" s="2974"/>
      <c r="AE75" s="2974"/>
      <c r="AF75" s="2975"/>
      <c r="AG75" s="306"/>
    </row>
    <row r="76" spans="1:33" s="338" customFormat="1" ht="25.5">
      <c r="A76" s="265"/>
      <c r="B76" s="1753">
        <v>2030502</v>
      </c>
      <c r="C76" s="1760">
        <v>0.1</v>
      </c>
      <c r="D76" s="1758" t="s">
        <v>948</v>
      </c>
      <c r="E76" s="2169"/>
      <c r="F76" s="512">
        <f>($E27*$C76)-(F27*$C76)</f>
        <v>0</v>
      </c>
      <c r="G76" s="269">
        <f t="shared" si="32"/>
        <v>0</v>
      </c>
      <c r="H76" s="269">
        <f t="shared" si="32"/>
        <v>0</v>
      </c>
      <c r="I76" s="269">
        <f t="shared" si="32"/>
        <v>0</v>
      </c>
      <c r="J76" s="269">
        <f t="shared" si="32"/>
        <v>0</v>
      </c>
      <c r="K76" s="332">
        <f t="shared" si="32"/>
        <v>0</v>
      </c>
      <c r="L76" s="2169"/>
      <c r="M76" s="512">
        <f>($L27*$C76)-(M27*$C76)</f>
        <v>0</v>
      </c>
      <c r="N76" s="269">
        <f t="shared" si="33"/>
        <v>0</v>
      </c>
      <c r="O76" s="269">
        <f t="shared" si="33"/>
        <v>0</v>
      </c>
      <c r="P76" s="269">
        <f t="shared" si="33"/>
        <v>0</v>
      </c>
      <c r="Q76" s="269">
        <f t="shared" si="33"/>
        <v>0</v>
      </c>
      <c r="R76" s="270">
        <f t="shared" si="33"/>
        <v>0</v>
      </c>
      <c r="S76" s="2169"/>
      <c r="T76" s="512">
        <f>($S27*$C76)-(T27*$C76)</f>
        <v>0</v>
      </c>
      <c r="U76" s="269">
        <f t="shared" si="34"/>
        <v>0</v>
      </c>
      <c r="V76" s="269">
        <f t="shared" si="34"/>
        <v>0</v>
      </c>
      <c r="W76" s="269">
        <f t="shared" si="34"/>
        <v>0</v>
      </c>
      <c r="X76" s="269">
        <f t="shared" si="34"/>
        <v>0</v>
      </c>
      <c r="Y76" s="270">
        <f t="shared" si="34"/>
        <v>0</v>
      </c>
      <c r="Z76" s="2169"/>
      <c r="AA76" s="2960"/>
      <c r="AB76" s="2974"/>
      <c r="AC76" s="2974"/>
      <c r="AD76" s="2974"/>
      <c r="AE76" s="2974"/>
      <c r="AF76" s="2975"/>
      <c r="AG76" s="306"/>
    </row>
    <row r="77" spans="1:33" s="338" customFormat="1">
      <c r="A77" s="265"/>
      <c r="B77" s="1753">
        <v>2030503</v>
      </c>
      <c r="C77" s="1760">
        <v>0.1</v>
      </c>
      <c r="D77" s="1758" t="s">
        <v>966</v>
      </c>
      <c r="E77" s="2169"/>
      <c r="F77" s="512">
        <f>($E28*$C77)-(F28*$C77)</f>
        <v>0</v>
      </c>
      <c r="G77" s="269">
        <f t="shared" si="32"/>
        <v>0</v>
      </c>
      <c r="H77" s="269">
        <f t="shared" si="32"/>
        <v>0</v>
      </c>
      <c r="I77" s="269">
        <f t="shared" si="32"/>
        <v>0</v>
      </c>
      <c r="J77" s="269">
        <f t="shared" si="32"/>
        <v>0</v>
      </c>
      <c r="K77" s="332">
        <f t="shared" si="32"/>
        <v>0</v>
      </c>
      <c r="L77" s="2169"/>
      <c r="M77" s="512">
        <f>($L28*$C77)-(M28*$C77)</f>
        <v>0</v>
      </c>
      <c r="N77" s="269">
        <f t="shared" si="33"/>
        <v>0</v>
      </c>
      <c r="O77" s="269">
        <f t="shared" si="33"/>
        <v>0</v>
      </c>
      <c r="P77" s="269">
        <f t="shared" si="33"/>
        <v>0</v>
      </c>
      <c r="Q77" s="269">
        <f t="shared" si="33"/>
        <v>0</v>
      </c>
      <c r="R77" s="270">
        <f t="shared" si="33"/>
        <v>0</v>
      </c>
      <c r="S77" s="2169"/>
      <c r="T77" s="512">
        <f>($S28*$C77)-(T28*$C77)</f>
        <v>0</v>
      </c>
      <c r="U77" s="269">
        <f t="shared" si="34"/>
        <v>0</v>
      </c>
      <c r="V77" s="269">
        <f t="shared" si="34"/>
        <v>0</v>
      </c>
      <c r="W77" s="269">
        <f t="shared" si="34"/>
        <v>0</v>
      </c>
      <c r="X77" s="269">
        <f t="shared" si="34"/>
        <v>0</v>
      </c>
      <c r="Y77" s="270">
        <f t="shared" si="34"/>
        <v>0</v>
      </c>
      <c r="Z77" s="2169"/>
      <c r="AA77" s="2960"/>
      <c r="AB77" s="2974"/>
      <c r="AC77" s="2974"/>
      <c r="AD77" s="2974"/>
      <c r="AE77" s="2974"/>
      <c r="AF77" s="2975"/>
      <c r="AG77" s="306"/>
    </row>
    <row r="78" spans="1:33" s="338" customFormat="1">
      <c r="A78" s="265"/>
      <c r="B78" s="1753">
        <v>20306</v>
      </c>
      <c r="C78" s="1754">
        <v>0.1</v>
      </c>
      <c r="D78" s="1742" t="s">
        <v>581</v>
      </c>
      <c r="E78" s="2169">
        <v>5</v>
      </c>
      <c r="F78" s="512">
        <f>($E29*$C78)-(F29*$C78)</f>
        <v>5.4</v>
      </c>
      <c r="G78" s="269">
        <f t="shared" si="32"/>
        <v>5.4</v>
      </c>
      <c r="H78" s="269">
        <f t="shared" si="32"/>
        <v>5.4</v>
      </c>
      <c r="I78" s="269">
        <f t="shared" si="32"/>
        <v>5.4</v>
      </c>
      <c r="J78" s="269">
        <f t="shared" si="32"/>
        <v>5.4</v>
      </c>
      <c r="K78" s="332">
        <f t="shared" si="32"/>
        <v>5.4</v>
      </c>
      <c r="L78" s="2169"/>
      <c r="M78" s="512">
        <f>($L29*$C78)-(M29*$C78)</f>
        <v>0</v>
      </c>
      <c r="N78" s="269">
        <f t="shared" si="33"/>
        <v>0</v>
      </c>
      <c r="O78" s="269">
        <f t="shared" si="33"/>
        <v>0</v>
      </c>
      <c r="P78" s="269">
        <f t="shared" si="33"/>
        <v>0</v>
      </c>
      <c r="Q78" s="269">
        <f t="shared" si="33"/>
        <v>0</v>
      </c>
      <c r="R78" s="270">
        <f t="shared" si="33"/>
        <v>0</v>
      </c>
      <c r="S78" s="2169"/>
      <c r="T78" s="512">
        <f>($S29*$C78)-(T29*$C78)</f>
        <v>0</v>
      </c>
      <c r="U78" s="269">
        <f t="shared" si="34"/>
        <v>0</v>
      </c>
      <c r="V78" s="269">
        <f t="shared" si="34"/>
        <v>0</v>
      </c>
      <c r="W78" s="269">
        <f t="shared" si="34"/>
        <v>0</v>
      </c>
      <c r="X78" s="269">
        <f t="shared" si="34"/>
        <v>0</v>
      </c>
      <c r="Y78" s="270">
        <f t="shared" si="34"/>
        <v>0</v>
      </c>
      <c r="Z78" s="2169"/>
      <c r="AA78" s="2960"/>
      <c r="AB78" s="2974"/>
      <c r="AC78" s="2974"/>
      <c r="AD78" s="2974"/>
      <c r="AE78" s="2974"/>
      <c r="AF78" s="2975"/>
      <c r="AG78" s="306"/>
    </row>
    <row r="79" spans="1:33" s="338" customFormat="1" ht="14.25" customHeight="1">
      <c r="A79" s="307">
        <v>4</v>
      </c>
      <c r="B79" s="1751">
        <v>204</v>
      </c>
      <c r="C79" s="1752"/>
      <c r="D79" s="1761" t="s">
        <v>274</v>
      </c>
      <c r="E79" s="342">
        <f>E80+E83+E92+E93</f>
        <v>0</v>
      </c>
      <c r="F79" s="569">
        <f t="shared" ref="F79:Z79" si="35">F80+F83+F92+F93</f>
        <v>0</v>
      </c>
      <c r="G79" s="311">
        <f t="shared" si="35"/>
        <v>0</v>
      </c>
      <c r="H79" s="311">
        <f t="shared" si="35"/>
        <v>0</v>
      </c>
      <c r="I79" s="311">
        <f t="shared" si="35"/>
        <v>0</v>
      </c>
      <c r="J79" s="311">
        <f t="shared" si="35"/>
        <v>0</v>
      </c>
      <c r="K79" s="1958">
        <f t="shared" si="35"/>
        <v>0</v>
      </c>
      <c r="L79" s="341">
        <f t="shared" si="35"/>
        <v>0</v>
      </c>
      <c r="M79" s="310">
        <f t="shared" si="35"/>
        <v>0</v>
      </c>
      <c r="N79" s="311">
        <f t="shared" si="35"/>
        <v>0</v>
      </c>
      <c r="O79" s="311">
        <f t="shared" si="35"/>
        <v>0</v>
      </c>
      <c r="P79" s="311">
        <f t="shared" si="35"/>
        <v>0</v>
      </c>
      <c r="Q79" s="311">
        <f t="shared" si="35"/>
        <v>0</v>
      </c>
      <c r="R79" s="312">
        <f t="shared" si="35"/>
        <v>0</v>
      </c>
      <c r="S79" s="341">
        <f t="shared" si="35"/>
        <v>0</v>
      </c>
      <c r="T79" s="313">
        <f t="shared" si="35"/>
        <v>0</v>
      </c>
      <c r="U79" s="311">
        <f t="shared" si="35"/>
        <v>0</v>
      </c>
      <c r="V79" s="311">
        <f t="shared" si="35"/>
        <v>0</v>
      </c>
      <c r="W79" s="311">
        <f t="shared" si="35"/>
        <v>0</v>
      </c>
      <c r="X79" s="311">
        <f t="shared" si="35"/>
        <v>0</v>
      </c>
      <c r="Y79" s="312">
        <f t="shared" si="35"/>
        <v>0</v>
      </c>
      <c r="Z79" s="341">
        <f t="shared" si="35"/>
        <v>0</v>
      </c>
      <c r="AA79" s="2960"/>
      <c r="AB79" s="2974"/>
      <c r="AC79" s="2974"/>
      <c r="AD79" s="2974"/>
      <c r="AE79" s="2974"/>
      <c r="AF79" s="2975"/>
      <c r="AG79" s="306"/>
    </row>
    <row r="80" spans="1:33" s="338" customFormat="1">
      <c r="A80" s="265"/>
      <c r="B80" s="1753">
        <v>20401</v>
      </c>
      <c r="C80" s="1759"/>
      <c r="D80" s="1750" t="s">
        <v>589</v>
      </c>
      <c r="E80" s="343">
        <f>SUM(E81:E82)</f>
        <v>0</v>
      </c>
      <c r="F80" s="570">
        <f t="shared" ref="F80:Z80" si="36">SUM(F81:F82)</f>
        <v>0</v>
      </c>
      <c r="G80" s="253">
        <f t="shared" si="36"/>
        <v>0</v>
      </c>
      <c r="H80" s="253">
        <f t="shared" si="36"/>
        <v>0</v>
      </c>
      <c r="I80" s="253">
        <f t="shared" si="36"/>
        <v>0</v>
      </c>
      <c r="J80" s="253">
        <f t="shared" si="36"/>
        <v>0</v>
      </c>
      <c r="K80" s="1959">
        <f t="shared" si="36"/>
        <v>0</v>
      </c>
      <c r="L80" s="344">
        <f t="shared" si="36"/>
        <v>0</v>
      </c>
      <c r="M80" s="252">
        <f t="shared" si="36"/>
        <v>0</v>
      </c>
      <c r="N80" s="253">
        <f t="shared" si="36"/>
        <v>0</v>
      </c>
      <c r="O80" s="253">
        <f t="shared" si="36"/>
        <v>0</v>
      </c>
      <c r="P80" s="253">
        <f t="shared" si="36"/>
        <v>0</v>
      </c>
      <c r="Q80" s="253">
        <f t="shared" si="36"/>
        <v>0</v>
      </c>
      <c r="R80" s="254">
        <f t="shared" si="36"/>
        <v>0</v>
      </c>
      <c r="S80" s="344">
        <f t="shared" si="36"/>
        <v>0</v>
      </c>
      <c r="T80" s="255">
        <f t="shared" si="36"/>
        <v>0</v>
      </c>
      <c r="U80" s="253">
        <f t="shared" si="36"/>
        <v>0</v>
      </c>
      <c r="V80" s="253">
        <f t="shared" si="36"/>
        <v>0</v>
      </c>
      <c r="W80" s="253">
        <f t="shared" si="36"/>
        <v>0</v>
      </c>
      <c r="X80" s="253">
        <f t="shared" si="36"/>
        <v>0</v>
      </c>
      <c r="Y80" s="254">
        <f t="shared" si="36"/>
        <v>0</v>
      </c>
      <c r="Z80" s="344">
        <f t="shared" si="36"/>
        <v>0</v>
      </c>
      <c r="AA80" s="2960"/>
      <c r="AB80" s="2974"/>
      <c r="AC80" s="2974"/>
      <c r="AD80" s="2974"/>
      <c r="AE80" s="2974"/>
      <c r="AF80" s="2975"/>
      <c r="AG80" s="306"/>
    </row>
    <row r="81" spans="1:33" s="338" customFormat="1">
      <c r="A81" s="265"/>
      <c r="B81" s="1756">
        <v>2040101</v>
      </c>
      <c r="C81" s="1757">
        <v>0.1</v>
      </c>
      <c r="D81" s="1762" t="s">
        <v>603</v>
      </c>
      <c r="E81" s="2169"/>
      <c r="F81" s="512">
        <f>($E32*$C81)-(F32*$C81)</f>
        <v>0</v>
      </c>
      <c r="G81" s="269">
        <f t="shared" ref="G81:K82" si="37">F81-(G32*$C81)</f>
        <v>0</v>
      </c>
      <c r="H81" s="269">
        <f t="shared" si="37"/>
        <v>0</v>
      </c>
      <c r="I81" s="269">
        <f t="shared" si="37"/>
        <v>0</v>
      </c>
      <c r="J81" s="269">
        <f t="shared" si="37"/>
        <v>0</v>
      </c>
      <c r="K81" s="332">
        <f t="shared" si="37"/>
        <v>0</v>
      </c>
      <c r="L81" s="2169"/>
      <c r="M81" s="512">
        <f>($L32*$C81)-(M32*$C81)</f>
        <v>0</v>
      </c>
      <c r="N81" s="269">
        <f t="shared" ref="N81:R82" si="38">M81-(N32*$C81)</f>
        <v>0</v>
      </c>
      <c r="O81" s="269">
        <f t="shared" si="38"/>
        <v>0</v>
      </c>
      <c r="P81" s="269">
        <f t="shared" si="38"/>
        <v>0</v>
      </c>
      <c r="Q81" s="269">
        <f t="shared" si="38"/>
        <v>0</v>
      </c>
      <c r="R81" s="270">
        <f t="shared" si="38"/>
        <v>0</v>
      </c>
      <c r="S81" s="2169"/>
      <c r="T81" s="512">
        <f>($S32*$C81)-(T32*$C81)</f>
        <v>0</v>
      </c>
      <c r="U81" s="269">
        <f t="shared" ref="U81:Y82" si="39">T81-(U32*$C81)</f>
        <v>0</v>
      </c>
      <c r="V81" s="269">
        <f t="shared" si="39"/>
        <v>0</v>
      </c>
      <c r="W81" s="269">
        <f t="shared" si="39"/>
        <v>0</v>
      </c>
      <c r="X81" s="269">
        <f t="shared" si="39"/>
        <v>0</v>
      </c>
      <c r="Y81" s="270">
        <f t="shared" si="39"/>
        <v>0</v>
      </c>
      <c r="Z81" s="2169"/>
      <c r="AA81" s="2960"/>
      <c r="AB81" s="2974"/>
      <c r="AC81" s="2974"/>
      <c r="AD81" s="2974"/>
      <c r="AE81" s="2974"/>
      <c r="AF81" s="2975"/>
      <c r="AG81" s="306"/>
    </row>
    <row r="82" spans="1:33" s="338" customFormat="1">
      <c r="A82" s="265"/>
      <c r="B82" s="1756">
        <v>2040102</v>
      </c>
      <c r="C82" s="1757">
        <v>0.04</v>
      </c>
      <c r="D82" s="1762" t="s">
        <v>604</v>
      </c>
      <c r="E82" s="2169"/>
      <c r="F82" s="512">
        <f>($E33*$C82)-(F33*$C82)</f>
        <v>0</v>
      </c>
      <c r="G82" s="269">
        <f t="shared" si="37"/>
        <v>0</v>
      </c>
      <c r="H82" s="269">
        <f t="shared" si="37"/>
        <v>0</v>
      </c>
      <c r="I82" s="269">
        <f t="shared" si="37"/>
        <v>0</v>
      </c>
      <c r="J82" s="269">
        <f t="shared" si="37"/>
        <v>0</v>
      </c>
      <c r="K82" s="332">
        <f t="shared" si="37"/>
        <v>0</v>
      </c>
      <c r="L82" s="2169"/>
      <c r="M82" s="512">
        <f>($L33*$C82)-(M33*$C82)</f>
        <v>0</v>
      </c>
      <c r="N82" s="269">
        <f t="shared" si="38"/>
        <v>0</v>
      </c>
      <c r="O82" s="269">
        <f t="shared" si="38"/>
        <v>0</v>
      </c>
      <c r="P82" s="269">
        <f t="shared" si="38"/>
        <v>0</v>
      </c>
      <c r="Q82" s="269">
        <f t="shared" si="38"/>
        <v>0</v>
      </c>
      <c r="R82" s="270">
        <f t="shared" si="38"/>
        <v>0</v>
      </c>
      <c r="S82" s="2169"/>
      <c r="T82" s="512">
        <f>($S33*$C82)-(T33*$C82)</f>
        <v>0</v>
      </c>
      <c r="U82" s="269">
        <f t="shared" si="39"/>
        <v>0</v>
      </c>
      <c r="V82" s="269">
        <f t="shared" si="39"/>
        <v>0</v>
      </c>
      <c r="W82" s="269">
        <f t="shared" si="39"/>
        <v>0</v>
      </c>
      <c r="X82" s="269">
        <f t="shared" si="39"/>
        <v>0</v>
      </c>
      <c r="Y82" s="270">
        <f t="shared" si="39"/>
        <v>0</v>
      </c>
      <c r="Z82" s="2169"/>
      <c r="AA82" s="2960"/>
      <c r="AB82" s="2974"/>
      <c r="AC82" s="2974"/>
      <c r="AD82" s="2974"/>
      <c r="AE82" s="2974"/>
      <c r="AF82" s="2975"/>
      <c r="AG82" s="306"/>
    </row>
    <row r="83" spans="1:33" s="338" customFormat="1">
      <c r="A83" s="265"/>
      <c r="B83" s="1753">
        <v>20402</v>
      </c>
      <c r="C83" s="1759"/>
      <c r="D83" s="1750" t="s">
        <v>605</v>
      </c>
      <c r="E83" s="343">
        <f>SUM(E84:E91)</f>
        <v>0</v>
      </c>
      <c r="F83" s="570">
        <f t="shared" ref="F83:K83" si="40">SUM(F84:F91)</f>
        <v>0</v>
      </c>
      <c r="G83" s="253">
        <f t="shared" si="40"/>
        <v>0</v>
      </c>
      <c r="H83" s="253">
        <f t="shared" si="40"/>
        <v>0</v>
      </c>
      <c r="I83" s="253">
        <f t="shared" si="40"/>
        <v>0</v>
      </c>
      <c r="J83" s="253">
        <f t="shared" si="40"/>
        <v>0</v>
      </c>
      <c r="K83" s="1959">
        <f t="shared" si="40"/>
        <v>0</v>
      </c>
      <c r="L83" s="344">
        <f t="shared" ref="L83:Z83" si="41">SUM(L84:L91)</f>
        <v>0</v>
      </c>
      <c r="M83" s="252">
        <f t="shared" si="41"/>
        <v>0</v>
      </c>
      <c r="N83" s="253">
        <f t="shared" si="41"/>
        <v>0</v>
      </c>
      <c r="O83" s="253">
        <f t="shared" si="41"/>
        <v>0</v>
      </c>
      <c r="P83" s="253">
        <f t="shared" si="41"/>
        <v>0</v>
      </c>
      <c r="Q83" s="253">
        <f t="shared" si="41"/>
        <v>0</v>
      </c>
      <c r="R83" s="254">
        <f t="shared" si="41"/>
        <v>0</v>
      </c>
      <c r="S83" s="344">
        <f t="shared" si="41"/>
        <v>0</v>
      </c>
      <c r="T83" s="255">
        <f t="shared" si="41"/>
        <v>0</v>
      </c>
      <c r="U83" s="253">
        <f t="shared" si="41"/>
        <v>0</v>
      </c>
      <c r="V83" s="253">
        <f t="shared" si="41"/>
        <v>0</v>
      </c>
      <c r="W83" s="253">
        <f t="shared" si="41"/>
        <v>0</v>
      </c>
      <c r="X83" s="253">
        <f t="shared" si="41"/>
        <v>0</v>
      </c>
      <c r="Y83" s="254">
        <f t="shared" si="41"/>
        <v>0</v>
      </c>
      <c r="Z83" s="344">
        <f t="shared" si="41"/>
        <v>0</v>
      </c>
      <c r="AA83" s="2960"/>
      <c r="AB83" s="2974"/>
      <c r="AC83" s="2974"/>
      <c r="AD83" s="2974"/>
      <c r="AE83" s="2974"/>
      <c r="AF83" s="2975"/>
      <c r="AG83" s="306"/>
    </row>
    <row r="84" spans="1:33" s="338" customFormat="1">
      <c r="A84" s="265"/>
      <c r="B84" s="1753">
        <v>2040201</v>
      </c>
      <c r="C84" s="1754">
        <v>0.02</v>
      </c>
      <c r="D84" s="1758" t="s">
        <v>1007</v>
      </c>
      <c r="E84" s="2169"/>
      <c r="F84" s="512">
        <f t="shared" ref="F84:F92" si="42">($E35*$C84)-(F35*$C84)</f>
        <v>0</v>
      </c>
      <c r="G84" s="269">
        <f t="shared" ref="G84:K91" si="43">F84-(G35*$C84)</f>
        <v>0</v>
      </c>
      <c r="H84" s="269">
        <f t="shared" si="43"/>
        <v>0</v>
      </c>
      <c r="I84" s="269">
        <f t="shared" si="43"/>
        <v>0</v>
      </c>
      <c r="J84" s="269">
        <f t="shared" si="43"/>
        <v>0</v>
      </c>
      <c r="K84" s="332">
        <f t="shared" si="43"/>
        <v>0</v>
      </c>
      <c r="L84" s="2169"/>
      <c r="M84" s="512">
        <f t="shared" ref="M84:M91" si="44">($L35*$C84)-(M35*$C84)</f>
        <v>0</v>
      </c>
      <c r="N84" s="269">
        <f t="shared" ref="N84:R91" si="45">M84-(N35*$C84)</f>
        <v>0</v>
      </c>
      <c r="O84" s="269">
        <f t="shared" si="45"/>
        <v>0</v>
      </c>
      <c r="P84" s="269">
        <f t="shared" si="45"/>
        <v>0</v>
      </c>
      <c r="Q84" s="269">
        <f t="shared" si="45"/>
        <v>0</v>
      </c>
      <c r="R84" s="270">
        <f t="shared" si="45"/>
        <v>0</v>
      </c>
      <c r="S84" s="2169"/>
      <c r="T84" s="512">
        <f t="shared" ref="T84:T91" si="46">($S35*$C84)-(T35*$C84)</f>
        <v>0</v>
      </c>
      <c r="U84" s="269">
        <f t="shared" ref="U84:Y91" si="47">T84-(U35*$C84)</f>
        <v>0</v>
      </c>
      <c r="V84" s="269">
        <f t="shared" si="47"/>
        <v>0</v>
      </c>
      <c r="W84" s="269">
        <f t="shared" si="47"/>
        <v>0</v>
      </c>
      <c r="X84" s="269">
        <f t="shared" si="47"/>
        <v>0</v>
      </c>
      <c r="Y84" s="270">
        <f t="shared" si="47"/>
        <v>0</v>
      </c>
      <c r="Z84" s="2169"/>
      <c r="AA84" s="2960"/>
      <c r="AB84" s="2974"/>
      <c r="AC84" s="2974"/>
      <c r="AD84" s="2974"/>
      <c r="AE84" s="2974"/>
      <c r="AF84" s="2975"/>
      <c r="AG84" s="306"/>
    </row>
    <row r="85" spans="1:33" s="338" customFormat="1">
      <c r="A85" s="265"/>
      <c r="B85" s="1753">
        <v>2040202</v>
      </c>
      <c r="C85" s="1754">
        <v>0.02</v>
      </c>
      <c r="D85" s="1758" t="s">
        <v>1008</v>
      </c>
      <c r="E85" s="2169"/>
      <c r="F85" s="512">
        <f t="shared" si="42"/>
        <v>0</v>
      </c>
      <c r="G85" s="269">
        <f t="shared" si="43"/>
        <v>0</v>
      </c>
      <c r="H85" s="269">
        <f t="shared" si="43"/>
        <v>0</v>
      </c>
      <c r="I85" s="269">
        <f t="shared" si="43"/>
        <v>0</v>
      </c>
      <c r="J85" s="269">
        <f t="shared" si="43"/>
        <v>0</v>
      </c>
      <c r="K85" s="332">
        <f t="shared" si="43"/>
        <v>0</v>
      </c>
      <c r="L85" s="2169"/>
      <c r="M85" s="512">
        <f t="shared" si="44"/>
        <v>0</v>
      </c>
      <c r="N85" s="269">
        <f t="shared" si="45"/>
        <v>0</v>
      </c>
      <c r="O85" s="269">
        <f t="shared" si="45"/>
        <v>0</v>
      </c>
      <c r="P85" s="269">
        <f t="shared" si="45"/>
        <v>0</v>
      </c>
      <c r="Q85" s="269">
        <f t="shared" si="45"/>
        <v>0</v>
      </c>
      <c r="R85" s="270">
        <f t="shared" si="45"/>
        <v>0</v>
      </c>
      <c r="S85" s="2169"/>
      <c r="T85" s="512">
        <f t="shared" si="46"/>
        <v>0</v>
      </c>
      <c r="U85" s="269">
        <f t="shared" si="47"/>
        <v>0</v>
      </c>
      <c r="V85" s="269">
        <f t="shared" si="47"/>
        <v>0</v>
      </c>
      <c r="W85" s="269">
        <f t="shared" si="47"/>
        <v>0</v>
      </c>
      <c r="X85" s="269">
        <f t="shared" si="47"/>
        <v>0</v>
      </c>
      <c r="Y85" s="270">
        <f t="shared" si="47"/>
        <v>0</v>
      </c>
      <c r="Z85" s="2169"/>
      <c r="AA85" s="2960"/>
      <c r="AB85" s="2974"/>
      <c r="AC85" s="2974"/>
      <c r="AD85" s="2974"/>
      <c r="AE85" s="2974"/>
      <c r="AF85" s="2975"/>
      <c r="AG85" s="306"/>
    </row>
    <row r="86" spans="1:33" s="338" customFormat="1">
      <c r="A86" s="265"/>
      <c r="B86" s="1753">
        <v>2040203</v>
      </c>
      <c r="C86" s="1754">
        <v>0.02</v>
      </c>
      <c r="D86" s="1758" t="s">
        <v>590</v>
      </c>
      <c r="E86" s="2169"/>
      <c r="F86" s="512">
        <f t="shared" si="42"/>
        <v>0</v>
      </c>
      <c r="G86" s="269">
        <f t="shared" si="43"/>
        <v>0</v>
      </c>
      <c r="H86" s="269">
        <f t="shared" si="43"/>
        <v>0</v>
      </c>
      <c r="I86" s="269">
        <f t="shared" si="43"/>
        <v>0</v>
      </c>
      <c r="J86" s="269">
        <f t="shared" si="43"/>
        <v>0</v>
      </c>
      <c r="K86" s="332">
        <f t="shared" si="43"/>
        <v>0</v>
      </c>
      <c r="L86" s="2169"/>
      <c r="M86" s="512">
        <f t="shared" si="44"/>
        <v>0</v>
      </c>
      <c r="N86" s="269">
        <f t="shared" si="45"/>
        <v>0</v>
      </c>
      <c r="O86" s="269">
        <f t="shared" si="45"/>
        <v>0</v>
      </c>
      <c r="P86" s="269">
        <f t="shared" si="45"/>
        <v>0</v>
      </c>
      <c r="Q86" s="269">
        <f t="shared" si="45"/>
        <v>0</v>
      </c>
      <c r="R86" s="270">
        <f t="shared" si="45"/>
        <v>0</v>
      </c>
      <c r="S86" s="2169"/>
      <c r="T86" s="512">
        <f t="shared" si="46"/>
        <v>0</v>
      </c>
      <c r="U86" s="269">
        <f t="shared" si="47"/>
        <v>0</v>
      </c>
      <c r="V86" s="269">
        <f t="shared" si="47"/>
        <v>0</v>
      </c>
      <c r="W86" s="269">
        <f t="shared" si="47"/>
        <v>0</v>
      </c>
      <c r="X86" s="269">
        <f t="shared" si="47"/>
        <v>0</v>
      </c>
      <c r="Y86" s="270">
        <f t="shared" si="47"/>
        <v>0</v>
      </c>
      <c r="Z86" s="2169"/>
      <c r="AA86" s="2960"/>
      <c r="AB86" s="2974"/>
      <c r="AC86" s="2974"/>
      <c r="AD86" s="2974"/>
      <c r="AE86" s="2974"/>
      <c r="AF86" s="2975"/>
      <c r="AG86" s="306"/>
    </row>
    <row r="87" spans="1:33" s="338" customFormat="1">
      <c r="A87" s="265"/>
      <c r="B87" s="1753">
        <v>2040204</v>
      </c>
      <c r="C87" s="1754">
        <v>0.02</v>
      </c>
      <c r="D87" s="1762" t="s">
        <v>591</v>
      </c>
      <c r="E87" s="2169"/>
      <c r="F87" s="512">
        <f t="shared" si="42"/>
        <v>0</v>
      </c>
      <c r="G87" s="269">
        <f t="shared" si="43"/>
        <v>0</v>
      </c>
      <c r="H87" s="269">
        <f t="shared" si="43"/>
        <v>0</v>
      </c>
      <c r="I87" s="269">
        <f t="shared" si="43"/>
        <v>0</v>
      </c>
      <c r="J87" s="269">
        <f t="shared" si="43"/>
        <v>0</v>
      </c>
      <c r="K87" s="332">
        <f t="shared" si="43"/>
        <v>0</v>
      </c>
      <c r="L87" s="2169"/>
      <c r="M87" s="512">
        <f t="shared" si="44"/>
        <v>0</v>
      </c>
      <c r="N87" s="269">
        <f t="shared" si="45"/>
        <v>0</v>
      </c>
      <c r="O87" s="269">
        <f t="shared" si="45"/>
        <v>0</v>
      </c>
      <c r="P87" s="269">
        <f t="shared" si="45"/>
        <v>0</v>
      </c>
      <c r="Q87" s="269">
        <f t="shared" si="45"/>
        <v>0</v>
      </c>
      <c r="R87" s="270">
        <f t="shared" si="45"/>
        <v>0</v>
      </c>
      <c r="S87" s="2169"/>
      <c r="T87" s="512">
        <f t="shared" si="46"/>
        <v>0</v>
      </c>
      <c r="U87" s="269">
        <f t="shared" si="47"/>
        <v>0</v>
      </c>
      <c r="V87" s="269">
        <f t="shared" si="47"/>
        <v>0</v>
      </c>
      <c r="W87" s="269">
        <f t="shared" si="47"/>
        <v>0</v>
      </c>
      <c r="X87" s="269">
        <f t="shared" si="47"/>
        <v>0</v>
      </c>
      <c r="Y87" s="270">
        <f t="shared" si="47"/>
        <v>0</v>
      </c>
      <c r="Z87" s="2169"/>
      <c r="AA87" s="2960"/>
      <c r="AB87" s="2974"/>
      <c r="AC87" s="2974"/>
      <c r="AD87" s="2974"/>
      <c r="AE87" s="2974"/>
      <c r="AF87" s="2975"/>
      <c r="AG87" s="306"/>
    </row>
    <row r="88" spans="1:33" s="338" customFormat="1">
      <c r="A88" s="265"/>
      <c r="B88" s="1753">
        <v>2040205</v>
      </c>
      <c r="C88" s="1754">
        <v>0.02</v>
      </c>
      <c r="D88" s="1758" t="s">
        <v>592</v>
      </c>
      <c r="E88" s="2169"/>
      <c r="F88" s="512">
        <f t="shared" si="42"/>
        <v>0</v>
      </c>
      <c r="G88" s="269">
        <f t="shared" si="43"/>
        <v>0</v>
      </c>
      <c r="H88" s="269">
        <f t="shared" si="43"/>
        <v>0</v>
      </c>
      <c r="I88" s="269">
        <f t="shared" si="43"/>
        <v>0</v>
      </c>
      <c r="J88" s="269">
        <f t="shared" si="43"/>
        <v>0</v>
      </c>
      <c r="K88" s="332">
        <f t="shared" si="43"/>
        <v>0</v>
      </c>
      <c r="L88" s="2169"/>
      <c r="M88" s="512">
        <f t="shared" si="44"/>
        <v>0</v>
      </c>
      <c r="N88" s="269">
        <f t="shared" si="45"/>
        <v>0</v>
      </c>
      <c r="O88" s="269">
        <f t="shared" si="45"/>
        <v>0</v>
      </c>
      <c r="P88" s="269">
        <f t="shared" si="45"/>
        <v>0</v>
      </c>
      <c r="Q88" s="269">
        <f t="shared" si="45"/>
        <v>0</v>
      </c>
      <c r="R88" s="270">
        <f t="shared" si="45"/>
        <v>0</v>
      </c>
      <c r="S88" s="2169"/>
      <c r="T88" s="512">
        <f t="shared" si="46"/>
        <v>0</v>
      </c>
      <c r="U88" s="269">
        <f t="shared" si="47"/>
        <v>0</v>
      </c>
      <c r="V88" s="269">
        <f t="shared" si="47"/>
        <v>0</v>
      </c>
      <c r="W88" s="269">
        <f t="shared" si="47"/>
        <v>0</v>
      </c>
      <c r="X88" s="269">
        <f t="shared" si="47"/>
        <v>0</v>
      </c>
      <c r="Y88" s="270">
        <f t="shared" si="47"/>
        <v>0</v>
      </c>
      <c r="Z88" s="2169"/>
      <c r="AA88" s="2960"/>
      <c r="AB88" s="2974"/>
      <c r="AC88" s="2974"/>
      <c r="AD88" s="2974"/>
      <c r="AE88" s="2974"/>
      <c r="AF88" s="2975"/>
      <c r="AG88" s="306"/>
    </row>
    <row r="89" spans="1:33" s="338" customFormat="1">
      <c r="A89" s="265"/>
      <c r="B89" s="1753">
        <v>2040206</v>
      </c>
      <c r="C89" s="1754">
        <v>0.02</v>
      </c>
      <c r="D89" s="1758" t="s">
        <v>593</v>
      </c>
      <c r="E89" s="2169"/>
      <c r="F89" s="512">
        <f t="shared" si="42"/>
        <v>0</v>
      </c>
      <c r="G89" s="269">
        <f t="shared" si="43"/>
        <v>0</v>
      </c>
      <c r="H89" s="269">
        <f t="shared" si="43"/>
        <v>0</v>
      </c>
      <c r="I89" s="269">
        <f t="shared" si="43"/>
        <v>0</v>
      </c>
      <c r="J89" s="269">
        <f t="shared" si="43"/>
        <v>0</v>
      </c>
      <c r="K89" s="332">
        <f t="shared" si="43"/>
        <v>0</v>
      </c>
      <c r="L89" s="2169"/>
      <c r="M89" s="512">
        <f t="shared" si="44"/>
        <v>0</v>
      </c>
      <c r="N89" s="269">
        <f t="shared" si="45"/>
        <v>0</v>
      </c>
      <c r="O89" s="269">
        <f t="shared" si="45"/>
        <v>0</v>
      </c>
      <c r="P89" s="269">
        <f t="shared" si="45"/>
        <v>0</v>
      </c>
      <c r="Q89" s="269">
        <f t="shared" si="45"/>
        <v>0</v>
      </c>
      <c r="R89" s="270">
        <f t="shared" si="45"/>
        <v>0</v>
      </c>
      <c r="S89" s="2169"/>
      <c r="T89" s="512">
        <f t="shared" si="46"/>
        <v>0</v>
      </c>
      <c r="U89" s="269">
        <f t="shared" si="47"/>
        <v>0</v>
      </c>
      <c r="V89" s="269">
        <f t="shared" si="47"/>
        <v>0</v>
      </c>
      <c r="W89" s="269">
        <f t="shared" si="47"/>
        <v>0</v>
      </c>
      <c r="X89" s="269">
        <f t="shared" si="47"/>
        <v>0</v>
      </c>
      <c r="Y89" s="270">
        <f t="shared" si="47"/>
        <v>0</v>
      </c>
      <c r="Z89" s="2169"/>
      <c r="AA89" s="2960"/>
      <c r="AB89" s="2974"/>
      <c r="AC89" s="2974"/>
      <c r="AD89" s="2974"/>
      <c r="AE89" s="2974"/>
      <c r="AF89" s="2975"/>
      <c r="AG89" s="306"/>
    </row>
    <row r="90" spans="1:33" s="338" customFormat="1" ht="25.5">
      <c r="A90" s="265"/>
      <c r="B90" s="1753">
        <v>2040207</v>
      </c>
      <c r="C90" s="1754">
        <v>0.04</v>
      </c>
      <c r="D90" s="1758" t="s">
        <v>594</v>
      </c>
      <c r="E90" s="2169"/>
      <c r="F90" s="512">
        <f t="shared" si="42"/>
        <v>0</v>
      </c>
      <c r="G90" s="269">
        <f t="shared" si="43"/>
        <v>0</v>
      </c>
      <c r="H90" s="269">
        <f t="shared" si="43"/>
        <v>0</v>
      </c>
      <c r="I90" s="269">
        <f t="shared" si="43"/>
        <v>0</v>
      </c>
      <c r="J90" s="269">
        <f t="shared" si="43"/>
        <v>0</v>
      </c>
      <c r="K90" s="332">
        <f t="shared" si="43"/>
        <v>0</v>
      </c>
      <c r="L90" s="2169"/>
      <c r="M90" s="512">
        <f t="shared" si="44"/>
        <v>0</v>
      </c>
      <c r="N90" s="269">
        <f t="shared" si="45"/>
        <v>0</v>
      </c>
      <c r="O90" s="269">
        <f t="shared" si="45"/>
        <v>0</v>
      </c>
      <c r="P90" s="269">
        <f t="shared" si="45"/>
        <v>0</v>
      </c>
      <c r="Q90" s="269">
        <f t="shared" si="45"/>
        <v>0</v>
      </c>
      <c r="R90" s="270">
        <f t="shared" si="45"/>
        <v>0</v>
      </c>
      <c r="S90" s="2169"/>
      <c r="T90" s="512">
        <f t="shared" si="46"/>
        <v>0</v>
      </c>
      <c r="U90" s="269">
        <f t="shared" si="47"/>
        <v>0</v>
      </c>
      <c r="V90" s="269">
        <f t="shared" si="47"/>
        <v>0</v>
      </c>
      <c r="W90" s="269">
        <f t="shared" si="47"/>
        <v>0</v>
      </c>
      <c r="X90" s="269">
        <f t="shared" si="47"/>
        <v>0</v>
      </c>
      <c r="Y90" s="270">
        <f t="shared" si="47"/>
        <v>0</v>
      </c>
      <c r="Z90" s="2169"/>
      <c r="AA90" s="2960"/>
      <c r="AB90" s="2974"/>
      <c r="AC90" s="2974"/>
      <c r="AD90" s="2974"/>
      <c r="AE90" s="2974"/>
      <c r="AF90" s="2975"/>
      <c r="AG90" s="306"/>
    </row>
    <row r="91" spans="1:33" s="338" customFormat="1">
      <c r="A91" s="265"/>
      <c r="B91" s="1753">
        <v>2040208</v>
      </c>
      <c r="C91" s="1754">
        <v>0.04</v>
      </c>
      <c r="D91" s="1758" t="s">
        <v>595</v>
      </c>
      <c r="E91" s="2169"/>
      <c r="F91" s="512">
        <f t="shared" si="42"/>
        <v>0</v>
      </c>
      <c r="G91" s="269">
        <f t="shared" si="43"/>
        <v>0</v>
      </c>
      <c r="H91" s="269">
        <f t="shared" si="43"/>
        <v>0</v>
      </c>
      <c r="I91" s="269">
        <f t="shared" si="43"/>
        <v>0</v>
      </c>
      <c r="J91" s="269">
        <f t="shared" si="43"/>
        <v>0</v>
      </c>
      <c r="K91" s="332">
        <f t="shared" si="43"/>
        <v>0</v>
      </c>
      <c r="L91" s="2169"/>
      <c r="M91" s="512">
        <f t="shared" si="44"/>
        <v>0</v>
      </c>
      <c r="N91" s="269">
        <f t="shared" si="45"/>
        <v>0</v>
      </c>
      <c r="O91" s="269">
        <f t="shared" si="45"/>
        <v>0</v>
      </c>
      <c r="P91" s="269">
        <f t="shared" si="45"/>
        <v>0</v>
      </c>
      <c r="Q91" s="269">
        <f t="shared" si="45"/>
        <v>0</v>
      </c>
      <c r="R91" s="270">
        <f t="shared" si="45"/>
        <v>0</v>
      </c>
      <c r="S91" s="2169"/>
      <c r="T91" s="512">
        <f t="shared" si="46"/>
        <v>0</v>
      </c>
      <c r="U91" s="269">
        <f t="shared" si="47"/>
        <v>0</v>
      </c>
      <c r="V91" s="269">
        <f t="shared" si="47"/>
        <v>0</v>
      </c>
      <c r="W91" s="269">
        <f t="shared" si="47"/>
        <v>0</v>
      </c>
      <c r="X91" s="269">
        <f t="shared" si="47"/>
        <v>0</v>
      </c>
      <c r="Y91" s="270">
        <f t="shared" si="47"/>
        <v>0</v>
      </c>
      <c r="Z91" s="2169"/>
      <c r="AA91" s="2960"/>
      <c r="AB91" s="2974"/>
      <c r="AC91" s="2974"/>
      <c r="AD91" s="2974"/>
      <c r="AE91" s="2974"/>
      <c r="AF91" s="2975"/>
      <c r="AG91" s="306"/>
    </row>
    <row r="92" spans="1:33" s="338" customFormat="1">
      <c r="A92" s="265"/>
      <c r="B92" s="1753">
        <v>20403</v>
      </c>
      <c r="C92" s="1754">
        <v>0.04</v>
      </c>
      <c r="D92" s="1742" t="s">
        <v>1524</v>
      </c>
      <c r="E92" s="2169"/>
      <c r="F92" s="512">
        <f t="shared" si="42"/>
        <v>0</v>
      </c>
      <c r="G92" s="269">
        <f t="shared" ref="G92:K93" si="48">F92-(G43*$C92)</f>
        <v>0</v>
      </c>
      <c r="H92" s="269">
        <f t="shared" si="48"/>
        <v>0</v>
      </c>
      <c r="I92" s="269">
        <f t="shared" si="48"/>
        <v>0</v>
      </c>
      <c r="J92" s="269">
        <f t="shared" si="48"/>
        <v>0</v>
      </c>
      <c r="K92" s="332">
        <f t="shared" si="48"/>
        <v>0</v>
      </c>
      <c r="L92" s="2169"/>
      <c r="M92" s="512">
        <f>($L43*$C92)-(M43*$C92)</f>
        <v>0</v>
      </c>
      <c r="N92" s="269">
        <f t="shared" ref="N92:R93" si="49">M92-(N43*$C92)</f>
        <v>0</v>
      </c>
      <c r="O92" s="269">
        <f t="shared" si="49"/>
        <v>0</v>
      </c>
      <c r="P92" s="269">
        <f t="shared" si="49"/>
        <v>0</v>
      </c>
      <c r="Q92" s="269">
        <f t="shared" si="49"/>
        <v>0</v>
      </c>
      <c r="R92" s="270">
        <f t="shared" si="49"/>
        <v>0</v>
      </c>
      <c r="S92" s="2169"/>
      <c r="T92" s="512">
        <f>($S43*$C92)-(T43*$C92)</f>
        <v>0</v>
      </c>
      <c r="U92" s="269">
        <f t="shared" ref="U92:Y93" si="50">T92-(U43*$C92)</f>
        <v>0</v>
      </c>
      <c r="V92" s="269">
        <f t="shared" si="50"/>
        <v>0</v>
      </c>
      <c r="W92" s="269">
        <f t="shared" si="50"/>
        <v>0</v>
      </c>
      <c r="X92" s="269">
        <f t="shared" si="50"/>
        <v>0</v>
      </c>
      <c r="Y92" s="270">
        <f t="shared" si="50"/>
        <v>0</v>
      </c>
      <c r="Z92" s="2169"/>
      <c r="AA92" s="2960"/>
      <c r="AB92" s="2974"/>
      <c r="AC92" s="2974"/>
      <c r="AD92" s="2974"/>
      <c r="AE92" s="2974"/>
      <c r="AF92" s="2975"/>
      <c r="AG92" s="306"/>
    </row>
    <row r="93" spans="1:33" s="338" customFormat="1" ht="25.5">
      <c r="A93" s="265"/>
      <c r="B93" s="1753" t="s">
        <v>1525</v>
      </c>
      <c r="C93" s="1754">
        <v>0.04</v>
      </c>
      <c r="D93" s="1742" t="s">
        <v>1526</v>
      </c>
      <c r="E93" s="2169"/>
      <c r="F93" s="512">
        <f>($E44*$C93)-(F44*$C93)</f>
        <v>0</v>
      </c>
      <c r="G93" s="269">
        <f t="shared" si="48"/>
        <v>0</v>
      </c>
      <c r="H93" s="269">
        <f t="shared" si="48"/>
        <v>0</v>
      </c>
      <c r="I93" s="269">
        <f t="shared" si="48"/>
        <v>0</v>
      </c>
      <c r="J93" s="269">
        <f t="shared" si="48"/>
        <v>0</v>
      </c>
      <c r="K93" s="332">
        <f t="shared" si="48"/>
        <v>0</v>
      </c>
      <c r="L93" s="2169"/>
      <c r="M93" s="512">
        <f>($L44*$C93)-(M44*$C93)</f>
        <v>0</v>
      </c>
      <c r="N93" s="269">
        <f t="shared" si="49"/>
        <v>0</v>
      </c>
      <c r="O93" s="269">
        <f t="shared" si="49"/>
        <v>0</v>
      </c>
      <c r="P93" s="269">
        <f t="shared" si="49"/>
        <v>0</v>
      </c>
      <c r="Q93" s="269">
        <f t="shared" si="49"/>
        <v>0</v>
      </c>
      <c r="R93" s="270">
        <f t="shared" si="49"/>
        <v>0</v>
      </c>
      <c r="S93" s="2169"/>
      <c r="T93" s="512">
        <f>($S44*$C93)-(T44*$C93)</f>
        <v>0</v>
      </c>
      <c r="U93" s="269">
        <f t="shared" si="50"/>
        <v>0</v>
      </c>
      <c r="V93" s="269">
        <f t="shared" si="50"/>
        <v>0</v>
      </c>
      <c r="W93" s="269">
        <f t="shared" si="50"/>
        <v>0</v>
      </c>
      <c r="X93" s="269">
        <f t="shared" si="50"/>
        <v>0</v>
      </c>
      <c r="Y93" s="270">
        <f t="shared" si="50"/>
        <v>0</v>
      </c>
      <c r="Z93" s="2169"/>
      <c r="AA93" s="2960"/>
      <c r="AB93" s="2974"/>
      <c r="AC93" s="2974"/>
      <c r="AD93" s="2974"/>
      <c r="AE93" s="2974"/>
      <c r="AF93" s="2975"/>
      <c r="AG93" s="306"/>
    </row>
    <row r="94" spans="1:33" s="338" customFormat="1">
      <c r="A94" s="307">
        <v>5</v>
      </c>
      <c r="B94" s="1751">
        <v>205</v>
      </c>
      <c r="C94" s="1751"/>
      <c r="D94" s="1755" t="s">
        <v>275</v>
      </c>
      <c r="E94" s="577">
        <f t="shared" ref="E94:Z94" si="51">SUM(E95:E98)</f>
        <v>8</v>
      </c>
      <c r="F94" s="578">
        <f t="shared" si="51"/>
        <v>41.400000000000006</v>
      </c>
      <c r="G94" s="579">
        <f t="shared" si="51"/>
        <v>41.400000000000006</v>
      </c>
      <c r="H94" s="579">
        <f t="shared" si="51"/>
        <v>41.400000000000006</v>
      </c>
      <c r="I94" s="579">
        <f t="shared" si="51"/>
        <v>41.400000000000006</v>
      </c>
      <c r="J94" s="579">
        <f t="shared" si="51"/>
        <v>41.400000000000006</v>
      </c>
      <c r="K94" s="1962">
        <f t="shared" si="51"/>
        <v>41.400000000000006</v>
      </c>
      <c r="L94" s="581">
        <f t="shared" si="51"/>
        <v>0.2</v>
      </c>
      <c r="M94" s="582">
        <f t="shared" si="51"/>
        <v>1.42</v>
      </c>
      <c r="N94" s="579">
        <f t="shared" si="51"/>
        <v>1.42</v>
      </c>
      <c r="O94" s="579">
        <f t="shared" si="51"/>
        <v>1.42</v>
      </c>
      <c r="P94" s="579">
        <f t="shared" si="51"/>
        <v>1.42</v>
      </c>
      <c r="Q94" s="579">
        <f t="shared" si="51"/>
        <v>1.42</v>
      </c>
      <c r="R94" s="580">
        <f t="shared" si="51"/>
        <v>-16.980000000000004</v>
      </c>
      <c r="S94" s="581">
        <f t="shared" si="51"/>
        <v>0</v>
      </c>
      <c r="T94" s="583">
        <f t="shared" si="51"/>
        <v>0</v>
      </c>
      <c r="U94" s="579">
        <f t="shared" si="51"/>
        <v>0</v>
      </c>
      <c r="V94" s="579">
        <f t="shared" si="51"/>
        <v>0</v>
      </c>
      <c r="W94" s="579">
        <f t="shared" si="51"/>
        <v>0</v>
      </c>
      <c r="X94" s="579">
        <f t="shared" si="51"/>
        <v>0</v>
      </c>
      <c r="Y94" s="580">
        <f t="shared" si="51"/>
        <v>0</v>
      </c>
      <c r="Z94" s="581">
        <f t="shared" si="51"/>
        <v>0</v>
      </c>
      <c r="AA94" s="2960"/>
      <c r="AB94" s="2974"/>
      <c r="AC94" s="2974"/>
      <c r="AD94" s="2974"/>
      <c r="AE94" s="2974"/>
      <c r="AF94" s="2975"/>
      <c r="AG94" s="306"/>
    </row>
    <row r="95" spans="1:33" s="338" customFormat="1">
      <c r="A95" s="274"/>
      <c r="B95" s="1740">
        <v>20501</v>
      </c>
      <c r="C95" s="1741">
        <v>0.08</v>
      </c>
      <c r="D95" s="1763" t="s">
        <v>765</v>
      </c>
      <c r="E95" s="2169">
        <v>6</v>
      </c>
      <c r="F95" s="512">
        <f>($E46*$C95)-(F46*$C95)</f>
        <v>23.2</v>
      </c>
      <c r="G95" s="269">
        <f t="shared" ref="G95:K98" si="52">F95-(G46*$C95)</f>
        <v>23.2</v>
      </c>
      <c r="H95" s="269">
        <f t="shared" si="52"/>
        <v>23.2</v>
      </c>
      <c r="I95" s="269">
        <f t="shared" si="52"/>
        <v>23.2</v>
      </c>
      <c r="J95" s="269">
        <f t="shared" si="52"/>
        <v>23.2</v>
      </c>
      <c r="K95" s="332">
        <f t="shared" si="52"/>
        <v>23.2</v>
      </c>
      <c r="L95" s="2169">
        <v>0.2</v>
      </c>
      <c r="M95" s="512">
        <f>($L46*$C95)-(M46*$C95)</f>
        <v>0.72</v>
      </c>
      <c r="N95" s="269">
        <f t="shared" ref="N95:R98" si="53">M95-(N46*$C95)</f>
        <v>0.72</v>
      </c>
      <c r="O95" s="269">
        <f t="shared" si="53"/>
        <v>0.72</v>
      </c>
      <c r="P95" s="269">
        <f t="shared" si="53"/>
        <v>0.72</v>
      </c>
      <c r="Q95" s="269">
        <f t="shared" si="53"/>
        <v>0.72</v>
      </c>
      <c r="R95" s="270">
        <f t="shared" si="53"/>
        <v>-17.680000000000003</v>
      </c>
      <c r="S95" s="2169"/>
      <c r="T95" s="512">
        <f>($S46*$C95)-(T46*$C95)</f>
        <v>0</v>
      </c>
      <c r="U95" s="269">
        <f t="shared" ref="U95:Y98" si="54">T95-(U46*$C95)</f>
        <v>0</v>
      </c>
      <c r="V95" s="269">
        <f t="shared" si="54"/>
        <v>0</v>
      </c>
      <c r="W95" s="269">
        <f t="shared" si="54"/>
        <v>0</v>
      </c>
      <c r="X95" s="269">
        <f t="shared" si="54"/>
        <v>0</v>
      </c>
      <c r="Y95" s="270">
        <f t="shared" si="54"/>
        <v>0</v>
      </c>
      <c r="Z95" s="2169"/>
      <c r="AA95" s="2960"/>
      <c r="AB95" s="2974"/>
      <c r="AC95" s="2974"/>
      <c r="AD95" s="2974"/>
      <c r="AE95" s="2974"/>
      <c r="AF95" s="2975"/>
      <c r="AG95" s="306"/>
    </row>
    <row r="96" spans="1:33" s="338" customFormat="1">
      <c r="A96" s="274"/>
      <c r="B96" s="1740">
        <v>20502</v>
      </c>
      <c r="C96" s="1741">
        <v>0.1</v>
      </c>
      <c r="D96" s="1763" t="s">
        <v>583</v>
      </c>
      <c r="E96" s="2169">
        <v>2</v>
      </c>
      <c r="F96" s="512">
        <f>($E47*$C96)-(F47*$C96)</f>
        <v>33.200000000000003</v>
      </c>
      <c r="G96" s="269">
        <f t="shared" si="52"/>
        <v>33.200000000000003</v>
      </c>
      <c r="H96" s="269">
        <f t="shared" si="52"/>
        <v>33.200000000000003</v>
      </c>
      <c r="I96" s="269">
        <f t="shared" si="52"/>
        <v>33.200000000000003</v>
      </c>
      <c r="J96" s="269">
        <f t="shared" si="52"/>
        <v>33.200000000000003</v>
      </c>
      <c r="K96" s="332">
        <f t="shared" si="52"/>
        <v>33.200000000000003</v>
      </c>
      <c r="L96" s="2169"/>
      <c r="M96" s="512">
        <f>($L47*$C96)-(M47*$C96)</f>
        <v>0.70000000000000007</v>
      </c>
      <c r="N96" s="269">
        <f t="shared" si="53"/>
        <v>0.70000000000000007</v>
      </c>
      <c r="O96" s="269">
        <f t="shared" si="53"/>
        <v>0.70000000000000007</v>
      </c>
      <c r="P96" s="269">
        <f t="shared" si="53"/>
        <v>0.70000000000000007</v>
      </c>
      <c r="Q96" s="269">
        <f t="shared" si="53"/>
        <v>0.70000000000000007</v>
      </c>
      <c r="R96" s="270">
        <f t="shared" si="53"/>
        <v>0.70000000000000007</v>
      </c>
      <c r="S96" s="2169"/>
      <c r="T96" s="512">
        <f>($S47*$C96)-(T47*$C96)</f>
        <v>0</v>
      </c>
      <c r="U96" s="269">
        <f t="shared" si="54"/>
        <v>0</v>
      </c>
      <c r="V96" s="269">
        <f t="shared" si="54"/>
        <v>0</v>
      </c>
      <c r="W96" s="269">
        <f t="shared" si="54"/>
        <v>0</v>
      </c>
      <c r="X96" s="269">
        <f t="shared" si="54"/>
        <v>0</v>
      </c>
      <c r="Y96" s="270">
        <f t="shared" si="54"/>
        <v>0</v>
      </c>
      <c r="Z96" s="2169"/>
      <c r="AA96" s="2960"/>
      <c r="AB96" s="2974"/>
      <c r="AC96" s="2974"/>
      <c r="AD96" s="2974"/>
      <c r="AE96" s="2974"/>
      <c r="AF96" s="2975"/>
      <c r="AG96" s="306"/>
    </row>
    <row r="97" spans="1:33" s="338" customFormat="1">
      <c r="A97" s="274"/>
      <c r="B97" s="1740">
        <v>20503</v>
      </c>
      <c r="C97" s="1741">
        <v>0.1</v>
      </c>
      <c r="D97" s="1742" t="s">
        <v>584</v>
      </c>
      <c r="E97" s="2169"/>
      <c r="F97" s="512">
        <f>($E48*$C97)-(F48*$C97)</f>
        <v>-15</v>
      </c>
      <c r="G97" s="269">
        <f t="shared" si="52"/>
        <v>-15</v>
      </c>
      <c r="H97" s="269">
        <f t="shared" si="52"/>
        <v>-15</v>
      </c>
      <c r="I97" s="269">
        <f t="shared" si="52"/>
        <v>-15</v>
      </c>
      <c r="J97" s="269">
        <f t="shared" si="52"/>
        <v>-15</v>
      </c>
      <c r="K97" s="332">
        <f t="shared" si="52"/>
        <v>-15</v>
      </c>
      <c r="L97" s="2169"/>
      <c r="M97" s="512">
        <f>($L48*$C97)-(M48*$C97)</f>
        <v>0</v>
      </c>
      <c r="N97" s="269">
        <f t="shared" si="53"/>
        <v>0</v>
      </c>
      <c r="O97" s="269">
        <f t="shared" si="53"/>
        <v>0</v>
      </c>
      <c r="P97" s="269">
        <f t="shared" si="53"/>
        <v>0</v>
      </c>
      <c r="Q97" s="269">
        <f t="shared" si="53"/>
        <v>0</v>
      </c>
      <c r="R97" s="270">
        <f t="shared" si="53"/>
        <v>0</v>
      </c>
      <c r="S97" s="2169"/>
      <c r="T97" s="512">
        <f>($S48*$C97)-(T48*$C97)</f>
        <v>0</v>
      </c>
      <c r="U97" s="269">
        <f t="shared" si="54"/>
        <v>0</v>
      </c>
      <c r="V97" s="269">
        <f t="shared" si="54"/>
        <v>0</v>
      </c>
      <c r="W97" s="269">
        <f t="shared" si="54"/>
        <v>0</v>
      </c>
      <c r="X97" s="269">
        <f t="shared" si="54"/>
        <v>0</v>
      </c>
      <c r="Y97" s="270">
        <f t="shared" si="54"/>
        <v>0</v>
      </c>
      <c r="Z97" s="2169"/>
      <c r="AA97" s="2960"/>
      <c r="AB97" s="2974"/>
      <c r="AC97" s="2974"/>
      <c r="AD97" s="2974"/>
      <c r="AE97" s="2974"/>
      <c r="AF97" s="2975"/>
      <c r="AG97" s="306"/>
    </row>
    <row r="98" spans="1:33" s="338" customFormat="1">
      <c r="A98" s="274"/>
      <c r="B98" s="1740">
        <v>20504</v>
      </c>
      <c r="C98" s="1741">
        <v>0.1</v>
      </c>
      <c r="D98" s="1742" t="s">
        <v>759</v>
      </c>
      <c r="E98" s="2169"/>
      <c r="F98" s="512">
        <f>($E49*$C98)-(F49*$C98)</f>
        <v>0</v>
      </c>
      <c r="G98" s="269">
        <f t="shared" si="52"/>
        <v>0</v>
      </c>
      <c r="H98" s="269">
        <f t="shared" si="52"/>
        <v>0</v>
      </c>
      <c r="I98" s="269">
        <f t="shared" si="52"/>
        <v>0</v>
      </c>
      <c r="J98" s="269">
        <f t="shared" si="52"/>
        <v>0</v>
      </c>
      <c r="K98" s="332">
        <f t="shared" si="52"/>
        <v>0</v>
      </c>
      <c r="L98" s="2169"/>
      <c r="M98" s="512">
        <f>($L49*$C98)-(M49*$C98)</f>
        <v>0</v>
      </c>
      <c r="N98" s="269">
        <f t="shared" si="53"/>
        <v>0</v>
      </c>
      <c r="O98" s="269">
        <f t="shared" si="53"/>
        <v>0</v>
      </c>
      <c r="P98" s="269">
        <f t="shared" si="53"/>
        <v>0</v>
      </c>
      <c r="Q98" s="269">
        <f t="shared" si="53"/>
        <v>0</v>
      </c>
      <c r="R98" s="270">
        <f t="shared" si="53"/>
        <v>0</v>
      </c>
      <c r="S98" s="2169"/>
      <c r="T98" s="512">
        <f>($S49*$C98)-(T49*$C98)</f>
        <v>0</v>
      </c>
      <c r="U98" s="269">
        <f t="shared" si="54"/>
        <v>0</v>
      </c>
      <c r="V98" s="269">
        <f t="shared" si="54"/>
        <v>0</v>
      </c>
      <c r="W98" s="269">
        <f t="shared" si="54"/>
        <v>0</v>
      </c>
      <c r="X98" s="269">
        <f t="shared" si="54"/>
        <v>0</v>
      </c>
      <c r="Y98" s="270">
        <f t="shared" si="54"/>
        <v>0</v>
      </c>
      <c r="Z98" s="2169"/>
      <c r="AA98" s="2960"/>
      <c r="AB98" s="2974"/>
      <c r="AC98" s="2974"/>
      <c r="AD98" s="2974"/>
      <c r="AE98" s="2974"/>
      <c r="AF98" s="2975"/>
      <c r="AG98" s="306"/>
    </row>
    <row r="99" spans="1:33" s="261" customFormat="1">
      <c r="A99" s="322">
        <v>6</v>
      </c>
      <c r="B99" s="1764">
        <v>206</v>
      </c>
      <c r="C99" s="1765">
        <v>0.1</v>
      </c>
      <c r="D99" s="1761" t="s">
        <v>564</v>
      </c>
      <c r="E99" s="577">
        <f>SUM(E100:E102)</f>
        <v>1</v>
      </c>
      <c r="F99" s="578">
        <f>SUM(F100:F102)</f>
        <v>0.70000000000000007</v>
      </c>
      <c r="G99" s="579">
        <f>SUM(G100:G102)</f>
        <v>0.70000000000000007</v>
      </c>
      <c r="H99" s="579">
        <f t="shared" ref="H99:Z99" si="55">SUM(H100:H102)</f>
        <v>-3.3</v>
      </c>
      <c r="I99" s="579">
        <f t="shared" si="55"/>
        <v>-3.3</v>
      </c>
      <c r="J99" s="579">
        <f t="shared" si="55"/>
        <v>-3.3</v>
      </c>
      <c r="K99" s="1962">
        <f t="shared" si="55"/>
        <v>-3.3</v>
      </c>
      <c r="L99" s="581">
        <f t="shared" si="55"/>
        <v>0</v>
      </c>
      <c r="M99" s="582">
        <f t="shared" si="55"/>
        <v>0.1</v>
      </c>
      <c r="N99" s="579">
        <f t="shared" si="55"/>
        <v>0.1</v>
      </c>
      <c r="O99" s="579">
        <f t="shared" si="55"/>
        <v>0.1</v>
      </c>
      <c r="P99" s="579">
        <f t="shared" si="55"/>
        <v>0.1</v>
      </c>
      <c r="Q99" s="579">
        <f t="shared" si="55"/>
        <v>0.1</v>
      </c>
      <c r="R99" s="580">
        <f t="shared" si="55"/>
        <v>-0.9</v>
      </c>
      <c r="S99" s="581">
        <f t="shared" si="55"/>
        <v>0</v>
      </c>
      <c r="T99" s="583">
        <f t="shared" si="55"/>
        <v>0</v>
      </c>
      <c r="U99" s="579">
        <f t="shared" si="55"/>
        <v>0</v>
      </c>
      <c r="V99" s="579">
        <f t="shared" si="55"/>
        <v>0</v>
      </c>
      <c r="W99" s="579">
        <f t="shared" si="55"/>
        <v>0</v>
      </c>
      <c r="X99" s="579">
        <f t="shared" si="55"/>
        <v>0</v>
      </c>
      <c r="Y99" s="580">
        <f t="shared" si="55"/>
        <v>0</v>
      </c>
      <c r="Z99" s="581">
        <f t="shared" si="55"/>
        <v>0</v>
      </c>
      <c r="AA99" s="2960"/>
      <c r="AB99" s="2974"/>
      <c r="AC99" s="2974"/>
      <c r="AD99" s="2974"/>
      <c r="AE99" s="2974"/>
      <c r="AF99" s="2975"/>
      <c r="AG99" s="306"/>
    </row>
    <row r="100" spans="1:33" s="338" customFormat="1">
      <c r="A100" s="322"/>
      <c r="B100" s="1740">
        <v>20601</v>
      </c>
      <c r="C100" s="1741">
        <v>0.1</v>
      </c>
      <c r="D100" s="1742" t="s">
        <v>766</v>
      </c>
      <c r="E100" s="2169">
        <v>1</v>
      </c>
      <c r="F100" s="512">
        <f t="shared" ref="F100:F108" si="56">($E51*$C100)-(F51*$C100)</f>
        <v>0.70000000000000007</v>
      </c>
      <c r="G100" s="269">
        <f t="shared" ref="G100:K108" si="57">F100-(G51*$C100)</f>
        <v>0.70000000000000007</v>
      </c>
      <c r="H100" s="269">
        <f t="shared" si="57"/>
        <v>0.70000000000000007</v>
      </c>
      <c r="I100" s="269">
        <f t="shared" si="57"/>
        <v>0.70000000000000007</v>
      </c>
      <c r="J100" s="269">
        <f t="shared" si="57"/>
        <v>0.70000000000000007</v>
      </c>
      <c r="K100" s="332">
        <f t="shared" si="57"/>
        <v>0.70000000000000007</v>
      </c>
      <c r="L100" s="2169"/>
      <c r="M100" s="268">
        <f t="shared" ref="M100:M108" si="58">($L51*$C100)-(M51*$C100)</f>
        <v>0.1</v>
      </c>
      <c r="N100" s="269">
        <f t="shared" ref="N100:R108" si="59">M100-(N51*$C100)</f>
        <v>0.1</v>
      </c>
      <c r="O100" s="269">
        <f t="shared" si="59"/>
        <v>0.1</v>
      </c>
      <c r="P100" s="269">
        <f t="shared" si="59"/>
        <v>0.1</v>
      </c>
      <c r="Q100" s="269">
        <f t="shared" si="59"/>
        <v>0.1</v>
      </c>
      <c r="R100" s="270">
        <f t="shared" si="59"/>
        <v>0.1</v>
      </c>
      <c r="S100" s="2169"/>
      <c r="T100" s="268">
        <f t="shared" ref="T100:T108" si="60">($S51*$C100)-(T51*$C100)</f>
        <v>0</v>
      </c>
      <c r="U100" s="269">
        <f t="shared" ref="U100:Y108" si="61">T100-(U51*$C100)</f>
        <v>0</v>
      </c>
      <c r="V100" s="269">
        <f t="shared" si="61"/>
        <v>0</v>
      </c>
      <c r="W100" s="269">
        <f t="shared" si="61"/>
        <v>0</v>
      </c>
      <c r="X100" s="269">
        <f t="shared" si="61"/>
        <v>0</v>
      </c>
      <c r="Y100" s="270">
        <f t="shared" si="61"/>
        <v>0</v>
      </c>
      <c r="Z100" s="2169"/>
      <c r="AA100" s="2960"/>
      <c r="AB100" s="2974"/>
      <c r="AC100" s="2974"/>
      <c r="AD100" s="2974"/>
      <c r="AE100" s="2974"/>
      <c r="AF100" s="2975"/>
      <c r="AG100" s="306"/>
    </row>
    <row r="101" spans="1:33" s="338" customFormat="1">
      <c r="A101" s="322"/>
      <c r="B101" s="1740">
        <v>20602</v>
      </c>
      <c r="C101" s="1741">
        <v>0.1</v>
      </c>
      <c r="D101" s="1742" t="s">
        <v>607</v>
      </c>
      <c r="E101" s="2169"/>
      <c r="F101" s="512">
        <f t="shared" si="56"/>
        <v>0</v>
      </c>
      <c r="G101" s="269">
        <f t="shared" si="57"/>
        <v>0</v>
      </c>
      <c r="H101" s="269">
        <f t="shared" si="57"/>
        <v>-4</v>
      </c>
      <c r="I101" s="269">
        <f t="shared" si="57"/>
        <v>-4</v>
      </c>
      <c r="J101" s="269">
        <f t="shared" si="57"/>
        <v>-4</v>
      </c>
      <c r="K101" s="332">
        <f t="shared" si="57"/>
        <v>-4</v>
      </c>
      <c r="L101" s="2169"/>
      <c r="M101" s="268">
        <f t="shared" si="58"/>
        <v>0</v>
      </c>
      <c r="N101" s="269">
        <f t="shared" si="59"/>
        <v>0</v>
      </c>
      <c r="O101" s="269">
        <f t="shared" si="59"/>
        <v>0</v>
      </c>
      <c r="P101" s="269">
        <f t="shared" si="59"/>
        <v>0</v>
      </c>
      <c r="Q101" s="269">
        <f t="shared" si="59"/>
        <v>0</v>
      </c>
      <c r="R101" s="270">
        <f t="shared" si="59"/>
        <v>-1</v>
      </c>
      <c r="S101" s="2169"/>
      <c r="T101" s="268">
        <f t="shared" si="60"/>
        <v>0</v>
      </c>
      <c r="U101" s="269">
        <f t="shared" si="61"/>
        <v>0</v>
      </c>
      <c r="V101" s="269">
        <f t="shared" si="61"/>
        <v>0</v>
      </c>
      <c r="W101" s="269">
        <f t="shared" si="61"/>
        <v>0</v>
      </c>
      <c r="X101" s="269">
        <f t="shared" si="61"/>
        <v>0</v>
      </c>
      <c r="Y101" s="270">
        <f t="shared" si="61"/>
        <v>0</v>
      </c>
      <c r="Z101" s="2169"/>
      <c r="AA101" s="2960"/>
      <c r="AB101" s="2974"/>
      <c r="AC101" s="2974"/>
      <c r="AD101" s="2974"/>
      <c r="AE101" s="2974"/>
      <c r="AF101" s="2975"/>
      <c r="AG101" s="306"/>
    </row>
    <row r="102" spans="1:33" s="338" customFormat="1">
      <c r="A102" s="322"/>
      <c r="B102" s="1740">
        <v>20603</v>
      </c>
      <c r="C102" s="1741">
        <v>0.5</v>
      </c>
      <c r="D102" s="1742" t="s">
        <v>1441</v>
      </c>
      <c r="E102" s="2169"/>
      <c r="F102" s="512">
        <f t="shared" si="56"/>
        <v>0</v>
      </c>
      <c r="G102" s="269">
        <f t="shared" si="57"/>
        <v>0</v>
      </c>
      <c r="H102" s="269">
        <f t="shared" si="57"/>
        <v>0</v>
      </c>
      <c r="I102" s="269">
        <f t="shared" si="57"/>
        <v>0</v>
      </c>
      <c r="J102" s="269">
        <f t="shared" si="57"/>
        <v>0</v>
      </c>
      <c r="K102" s="332">
        <f t="shared" si="57"/>
        <v>0</v>
      </c>
      <c r="L102" s="2169"/>
      <c r="M102" s="268">
        <f t="shared" si="58"/>
        <v>0</v>
      </c>
      <c r="N102" s="269">
        <f t="shared" si="59"/>
        <v>0</v>
      </c>
      <c r="O102" s="269">
        <f t="shared" si="59"/>
        <v>0</v>
      </c>
      <c r="P102" s="269">
        <f t="shared" si="59"/>
        <v>0</v>
      </c>
      <c r="Q102" s="269">
        <f t="shared" si="59"/>
        <v>0</v>
      </c>
      <c r="R102" s="270">
        <f t="shared" si="59"/>
        <v>0</v>
      </c>
      <c r="S102" s="2169"/>
      <c r="T102" s="268">
        <f t="shared" si="60"/>
        <v>0</v>
      </c>
      <c r="U102" s="269">
        <f t="shared" si="61"/>
        <v>0</v>
      </c>
      <c r="V102" s="269">
        <f t="shared" si="61"/>
        <v>0</v>
      </c>
      <c r="W102" s="269">
        <f t="shared" si="61"/>
        <v>0</v>
      </c>
      <c r="X102" s="269">
        <f t="shared" si="61"/>
        <v>0</v>
      </c>
      <c r="Y102" s="270">
        <f t="shared" si="61"/>
        <v>0</v>
      </c>
      <c r="Z102" s="2169"/>
      <c r="AA102" s="2960"/>
      <c r="AB102" s="2974"/>
      <c r="AC102" s="2974"/>
      <c r="AD102" s="2974"/>
      <c r="AE102" s="2974"/>
      <c r="AF102" s="2975"/>
      <c r="AG102" s="306"/>
    </row>
    <row r="103" spans="1:33" s="261" customFormat="1">
      <c r="A103" s="322">
        <v>7</v>
      </c>
      <c r="B103" s="1764">
        <v>208</v>
      </c>
      <c r="C103" s="1765">
        <v>0.2</v>
      </c>
      <c r="D103" s="1761" t="s">
        <v>585</v>
      </c>
      <c r="E103" s="2169">
        <v>2</v>
      </c>
      <c r="F103" s="575">
        <f t="shared" si="56"/>
        <v>2.8000000000000003</v>
      </c>
      <c r="G103" s="324">
        <f t="shared" si="57"/>
        <v>2.8000000000000003</v>
      </c>
      <c r="H103" s="324">
        <f t="shared" si="57"/>
        <v>2.8000000000000003</v>
      </c>
      <c r="I103" s="324">
        <f t="shared" si="57"/>
        <v>2.8000000000000003</v>
      </c>
      <c r="J103" s="324">
        <f t="shared" si="57"/>
        <v>2.8000000000000003</v>
      </c>
      <c r="K103" s="1963">
        <f t="shared" si="57"/>
        <v>2.8000000000000003</v>
      </c>
      <c r="L103" s="2169"/>
      <c r="M103" s="323">
        <f t="shared" si="58"/>
        <v>0</v>
      </c>
      <c r="N103" s="324">
        <f t="shared" si="59"/>
        <v>0</v>
      </c>
      <c r="O103" s="324">
        <f t="shared" si="59"/>
        <v>0</v>
      </c>
      <c r="P103" s="324">
        <f t="shared" si="59"/>
        <v>-5</v>
      </c>
      <c r="Q103" s="324">
        <f t="shared" si="59"/>
        <v>-15</v>
      </c>
      <c r="R103" s="325">
        <f t="shared" si="59"/>
        <v>-15</v>
      </c>
      <c r="S103" s="2169"/>
      <c r="T103" s="326">
        <f t="shared" si="60"/>
        <v>0</v>
      </c>
      <c r="U103" s="324">
        <f t="shared" si="61"/>
        <v>0</v>
      </c>
      <c r="V103" s="324">
        <f t="shared" si="61"/>
        <v>0</v>
      </c>
      <c r="W103" s="324">
        <f t="shared" si="61"/>
        <v>0</v>
      </c>
      <c r="X103" s="324">
        <f t="shared" si="61"/>
        <v>0</v>
      </c>
      <c r="Y103" s="325">
        <f t="shared" si="61"/>
        <v>0</v>
      </c>
      <c r="Z103" s="2169"/>
      <c r="AA103" s="2960"/>
      <c r="AB103" s="2974"/>
      <c r="AC103" s="2974"/>
      <c r="AD103" s="2974"/>
      <c r="AE103" s="2974"/>
      <c r="AF103" s="2975"/>
      <c r="AG103" s="306"/>
    </row>
    <row r="104" spans="1:33" s="261" customFormat="1">
      <c r="A104" s="322">
        <v>8</v>
      </c>
      <c r="B104" s="1764">
        <v>209</v>
      </c>
      <c r="C104" s="1765">
        <v>0.1</v>
      </c>
      <c r="D104" s="1761" t="s">
        <v>276</v>
      </c>
      <c r="E104" s="2169"/>
      <c r="F104" s="575">
        <f t="shared" si="56"/>
        <v>0</v>
      </c>
      <c r="G104" s="324">
        <f t="shared" si="57"/>
        <v>0</v>
      </c>
      <c r="H104" s="324">
        <f t="shared" si="57"/>
        <v>0</v>
      </c>
      <c r="I104" s="324">
        <f t="shared" si="57"/>
        <v>0</v>
      </c>
      <c r="J104" s="324">
        <f t="shared" si="57"/>
        <v>0</v>
      </c>
      <c r="K104" s="1963">
        <f t="shared" si="57"/>
        <v>0</v>
      </c>
      <c r="L104" s="2169"/>
      <c r="M104" s="323">
        <f t="shared" si="58"/>
        <v>0</v>
      </c>
      <c r="N104" s="324">
        <f t="shared" si="59"/>
        <v>0</v>
      </c>
      <c r="O104" s="324">
        <f t="shared" si="59"/>
        <v>0</v>
      </c>
      <c r="P104" s="324">
        <f t="shared" si="59"/>
        <v>0</v>
      </c>
      <c r="Q104" s="324">
        <f t="shared" si="59"/>
        <v>0</v>
      </c>
      <c r="R104" s="325">
        <f t="shared" si="59"/>
        <v>0</v>
      </c>
      <c r="S104" s="2169"/>
      <c r="T104" s="326">
        <f t="shared" si="60"/>
        <v>0</v>
      </c>
      <c r="U104" s="324">
        <f t="shared" si="61"/>
        <v>0</v>
      </c>
      <c r="V104" s="324">
        <f t="shared" si="61"/>
        <v>0</v>
      </c>
      <c r="W104" s="324">
        <f t="shared" si="61"/>
        <v>0</v>
      </c>
      <c r="X104" s="324">
        <f t="shared" si="61"/>
        <v>0</v>
      </c>
      <c r="Y104" s="325">
        <f t="shared" si="61"/>
        <v>0</v>
      </c>
      <c r="Z104" s="2169"/>
      <c r="AA104" s="2960"/>
      <c r="AB104" s="2974"/>
      <c r="AC104" s="2974"/>
      <c r="AD104" s="2974"/>
      <c r="AE104" s="2974"/>
      <c r="AF104" s="2975"/>
      <c r="AG104" s="306"/>
    </row>
    <row r="105" spans="1:33" s="261" customFormat="1">
      <c r="A105" s="322">
        <v>9</v>
      </c>
      <c r="B105" s="1764">
        <v>212</v>
      </c>
      <c r="C105" s="1765">
        <v>0.2</v>
      </c>
      <c r="D105" s="1766" t="s">
        <v>277</v>
      </c>
      <c r="E105" s="2169">
        <v>3</v>
      </c>
      <c r="F105" s="575">
        <f t="shared" si="56"/>
        <v>2.8000000000000003</v>
      </c>
      <c r="G105" s="324">
        <f t="shared" si="57"/>
        <v>2.8000000000000003</v>
      </c>
      <c r="H105" s="324">
        <f t="shared" si="57"/>
        <v>2.8000000000000003</v>
      </c>
      <c r="I105" s="324">
        <f t="shared" si="57"/>
        <v>-12.2</v>
      </c>
      <c r="J105" s="324">
        <f t="shared" si="57"/>
        <v>-20.2</v>
      </c>
      <c r="K105" s="1963">
        <f t="shared" si="57"/>
        <v>-21.2</v>
      </c>
      <c r="L105" s="2169"/>
      <c r="M105" s="323">
        <f t="shared" si="58"/>
        <v>0.2</v>
      </c>
      <c r="N105" s="324">
        <f t="shared" si="59"/>
        <v>0.2</v>
      </c>
      <c r="O105" s="324">
        <f t="shared" si="59"/>
        <v>0.2</v>
      </c>
      <c r="P105" s="324">
        <f t="shared" si="59"/>
        <v>0.2</v>
      </c>
      <c r="Q105" s="324">
        <f t="shared" si="59"/>
        <v>-2.8</v>
      </c>
      <c r="R105" s="325">
        <f t="shared" si="59"/>
        <v>-3.8</v>
      </c>
      <c r="S105" s="2169"/>
      <c r="T105" s="326">
        <f t="shared" si="60"/>
        <v>0</v>
      </c>
      <c r="U105" s="324">
        <f t="shared" si="61"/>
        <v>0</v>
      </c>
      <c r="V105" s="324">
        <f t="shared" si="61"/>
        <v>0</v>
      </c>
      <c r="W105" s="324">
        <f t="shared" si="61"/>
        <v>0</v>
      </c>
      <c r="X105" s="324">
        <f t="shared" si="61"/>
        <v>0</v>
      </c>
      <c r="Y105" s="325">
        <f t="shared" si="61"/>
        <v>0</v>
      </c>
      <c r="Z105" s="2169"/>
      <c r="AA105" s="2960"/>
      <c r="AB105" s="2974"/>
      <c r="AC105" s="2974"/>
      <c r="AD105" s="2974"/>
      <c r="AE105" s="2974"/>
      <c r="AF105" s="2975"/>
      <c r="AG105" s="306"/>
    </row>
    <row r="106" spans="1:33" s="261" customFormat="1">
      <c r="A106" s="322">
        <v>10</v>
      </c>
      <c r="B106" s="1764">
        <v>213</v>
      </c>
      <c r="C106" s="1765">
        <v>0.2</v>
      </c>
      <c r="D106" s="1755" t="s">
        <v>278</v>
      </c>
      <c r="E106" s="2169"/>
      <c r="F106" s="575">
        <f t="shared" si="56"/>
        <v>0</v>
      </c>
      <c r="G106" s="324">
        <f t="shared" si="57"/>
        <v>0</v>
      </c>
      <c r="H106" s="324">
        <f t="shared" si="57"/>
        <v>0</v>
      </c>
      <c r="I106" s="324">
        <f t="shared" si="57"/>
        <v>0</v>
      </c>
      <c r="J106" s="324">
        <f t="shared" si="57"/>
        <v>0</v>
      </c>
      <c r="K106" s="1963">
        <f t="shared" si="57"/>
        <v>0</v>
      </c>
      <c r="L106" s="2169"/>
      <c r="M106" s="323">
        <f t="shared" si="58"/>
        <v>0</v>
      </c>
      <c r="N106" s="324">
        <f t="shared" si="59"/>
        <v>0</v>
      </c>
      <c r="O106" s="324">
        <f t="shared" si="59"/>
        <v>0</v>
      </c>
      <c r="P106" s="324">
        <f t="shared" si="59"/>
        <v>0</v>
      </c>
      <c r="Q106" s="324">
        <f t="shared" si="59"/>
        <v>0</v>
      </c>
      <c r="R106" s="325">
        <f t="shared" si="59"/>
        <v>0</v>
      </c>
      <c r="S106" s="2169"/>
      <c r="T106" s="326">
        <f t="shared" si="60"/>
        <v>0</v>
      </c>
      <c r="U106" s="324">
        <f t="shared" si="61"/>
        <v>0</v>
      </c>
      <c r="V106" s="324">
        <f t="shared" si="61"/>
        <v>0</v>
      </c>
      <c r="W106" s="324">
        <f t="shared" si="61"/>
        <v>0</v>
      </c>
      <c r="X106" s="324">
        <f t="shared" si="61"/>
        <v>0</v>
      </c>
      <c r="Y106" s="325">
        <f t="shared" si="61"/>
        <v>0</v>
      </c>
      <c r="Z106" s="2169"/>
      <c r="AA106" s="2960"/>
      <c r="AB106" s="2974"/>
      <c r="AC106" s="2974"/>
      <c r="AD106" s="2974"/>
      <c r="AE106" s="2974"/>
      <c r="AF106" s="2975"/>
      <c r="AG106" s="306"/>
    </row>
    <row r="107" spans="1:33" s="261" customFormat="1" ht="25.5">
      <c r="A107" s="327">
        <v>11</v>
      </c>
      <c r="B107" s="1764">
        <v>215</v>
      </c>
      <c r="C107" s="1765">
        <v>0.2</v>
      </c>
      <c r="D107" s="1755" t="s">
        <v>911</v>
      </c>
      <c r="E107" s="2169"/>
      <c r="F107" s="575">
        <f t="shared" si="56"/>
        <v>0</v>
      </c>
      <c r="G107" s="324">
        <f t="shared" si="57"/>
        <v>0</v>
      </c>
      <c r="H107" s="324">
        <f t="shared" si="57"/>
        <v>0</v>
      </c>
      <c r="I107" s="324">
        <f t="shared" si="57"/>
        <v>0</v>
      </c>
      <c r="J107" s="324">
        <f t="shared" si="57"/>
        <v>0</v>
      </c>
      <c r="K107" s="1963">
        <f t="shared" si="57"/>
        <v>0</v>
      </c>
      <c r="L107" s="2169"/>
      <c r="M107" s="323">
        <f t="shared" si="58"/>
        <v>0</v>
      </c>
      <c r="N107" s="324">
        <f t="shared" si="59"/>
        <v>0</v>
      </c>
      <c r="O107" s="324">
        <f t="shared" si="59"/>
        <v>0</v>
      </c>
      <c r="P107" s="324">
        <f t="shared" si="59"/>
        <v>0</v>
      </c>
      <c r="Q107" s="324">
        <f t="shared" si="59"/>
        <v>0</v>
      </c>
      <c r="R107" s="325">
        <f t="shared" si="59"/>
        <v>0</v>
      </c>
      <c r="S107" s="2169"/>
      <c r="T107" s="326">
        <f t="shared" si="60"/>
        <v>0</v>
      </c>
      <c r="U107" s="324">
        <f t="shared" si="61"/>
        <v>0</v>
      </c>
      <c r="V107" s="324">
        <f t="shared" si="61"/>
        <v>0</v>
      </c>
      <c r="W107" s="324">
        <f t="shared" si="61"/>
        <v>0</v>
      </c>
      <c r="X107" s="324">
        <f t="shared" si="61"/>
        <v>0</v>
      </c>
      <c r="Y107" s="325">
        <f t="shared" si="61"/>
        <v>0</v>
      </c>
      <c r="Z107" s="2169"/>
      <c r="AA107" s="2960"/>
      <c r="AB107" s="2974"/>
      <c r="AC107" s="2974"/>
      <c r="AD107" s="2974"/>
      <c r="AE107" s="2974"/>
      <c r="AF107" s="2975"/>
      <c r="AG107" s="306"/>
    </row>
    <row r="108" spans="1:33" s="261" customFormat="1" ht="13.5" thickBot="1">
      <c r="A108" s="333">
        <v>12</v>
      </c>
      <c r="B108" s="333">
        <v>219</v>
      </c>
      <c r="C108" s="334">
        <v>0.1</v>
      </c>
      <c r="D108" s="335" t="s">
        <v>279</v>
      </c>
      <c r="E108" s="2169"/>
      <c r="F108" s="576">
        <f t="shared" si="56"/>
        <v>0</v>
      </c>
      <c r="G108" s="329">
        <f t="shared" si="57"/>
        <v>0</v>
      </c>
      <c r="H108" s="329">
        <f t="shared" si="57"/>
        <v>0</v>
      </c>
      <c r="I108" s="329">
        <f t="shared" si="57"/>
        <v>-19</v>
      </c>
      <c r="J108" s="329">
        <f t="shared" si="57"/>
        <v>-30</v>
      </c>
      <c r="K108" s="1964">
        <f t="shared" si="57"/>
        <v>-30</v>
      </c>
      <c r="L108" s="2169"/>
      <c r="M108" s="328">
        <f t="shared" si="58"/>
        <v>0</v>
      </c>
      <c r="N108" s="329">
        <f t="shared" si="59"/>
        <v>0</v>
      </c>
      <c r="O108" s="329">
        <f t="shared" si="59"/>
        <v>0</v>
      </c>
      <c r="P108" s="329">
        <f t="shared" si="59"/>
        <v>0</v>
      </c>
      <c r="Q108" s="329">
        <f t="shared" si="59"/>
        <v>0</v>
      </c>
      <c r="R108" s="330">
        <f t="shared" si="59"/>
        <v>0</v>
      </c>
      <c r="S108" s="2169"/>
      <c r="T108" s="331">
        <f t="shared" si="60"/>
        <v>0</v>
      </c>
      <c r="U108" s="329">
        <f t="shared" si="61"/>
        <v>0</v>
      </c>
      <c r="V108" s="329">
        <f t="shared" si="61"/>
        <v>0</v>
      </c>
      <c r="W108" s="329">
        <f t="shared" si="61"/>
        <v>0</v>
      </c>
      <c r="X108" s="329">
        <f t="shared" si="61"/>
        <v>0</v>
      </c>
      <c r="Y108" s="330">
        <f t="shared" si="61"/>
        <v>0</v>
      </c>
      <c r="Z108" s="2169"/>
      <c r="AA108" s="2976"/>
      <c r="AB108" s="2977"/>
      <c r="AC108" s="2977"/>
      <c r="AD108" s="2977"/>
      <c r="AE108" s="2977"/>
      <c r="AF108" s="2978"/>
      <c r="AG108" s="306"/>
    </row>
    <row r="109" spans="1:33" s="261" customFormat="1" ht="40.5" customHeight="1" thickBot="1">
      <c r="A109" s="244" t="s">
        <v>596</v>
      </c>
      <c r="B109" s="244"/>
      <c r="C109" s="244"/>
      <c r="D109" s="1953" t="s">
        <v>867</v>
      </c>
      <c r="E109" s="1953"/>
      <c r="F109" s="1954"/>
      <c r="G109" s="1954"/>
      <c r="H109" s="1954"/>
      <c r="I109" s="1954"/>
      <c r="J109" s="1954"/>
      <c r="K109" s="1954"/>
      <c r="L109" s="1953"/>
      <c r="M109" s="1954"/>
      <c r="N109" s="1954"/>
      <c r="O109" s="1954"/>
      <c r="P109" s="1954"/>
      <c r="Q109" s="1954"/>
      <c r="R109" s="1955"/>
      <c r="S109" s="1953"/>
      <c r="T109" s="1954"/>
      <c r="U109" s="1954"/>
      <c r="V109" s="1954"/>
      <c r="W109" s="1954"/>
      <c r="X109" s="1954"/>
      <c r="Y109" s="1955"/>
      <c r="Z109" s="1953"/>
      <c r="AA109" s="1954"/>
      <c r="AB109" s="1954"/>
      <c r="AC109" s="1954"/>
      <c r="AD109" s="1954"/>
      <c r="AE109" s="1954"/>
      <c r="AF109" s="1955"/>
      <c r="AG109" s="306"/>
    </row>
    <row r="110" spans="1:33" s="261" customFormat="1" ht="19.5" customHeight="1" thickBot="1">
      <c r="A110" s="2904" t="s">
        <v>642</v>
      </c>
      <c r="B110" s="2905"/>
      <c r="C110" s="2905"/>
      <c r="D110" s="2905" t="s">
        <v>1527</v>
      </c>
      <c r="E110" s="652">
        <f>SUM(E111:E131)</f>
        <v>0</v>
      </c>
      <c r="F110" s="653">
        <f>SUM(F111:F131)</f>
        <v>0</v>
      </c>
      <c r="G110" s="654">
        <f t="shared" ref="G110:AF110" si="62">SUM(G111:G131)</f>
        <v>3709</v>
      </c>
      <c r="H110" s="654">
        <f t="shared" si="62"/>
        <v>7006</v>
      </c>
      <c r="I110" s="654">
        <f t="shared" si="62"/>
        <v>11479</v>
      </c>
      <c r="J110" s="654">
        <f t="shared" si="62"/>
        <v>8592</v>
      </c>
      <c r="K110" s="655">
        <f t="shared" si="62"/>
        <v>0</v>
      </c>
      <c r="L110" s="340">
        <f t="shared" si="62"/>
        <v>0</v>
      </c>
      <c r="M110" s="653">
        <f t="shared" si="62"/>
        <v>0</v>
      </c>
      <c r="N110" s="654">
        <f t="shared" si="62"/>
        <v>9305</v>
      </c>
      <c r="O110" s="654">
        <f t="shared" si="62"/>
        <v>0</v>
      </c>
      <c r="P110" s="654">
        <f t="shared" si="62"/>
        <v>4121</v>
      </c>
      <c r="Q110" s="654">
        <f t="shared" si="62"/>
        <v>49342</v>
      </c>
      <c r="R110" s="656">
        <f t="shared" si="62"/>
        <v>0</v>
      </c>
      <c r="S110" s="652">
        <f t="shared" si="62"/>
        <v>0</v>
      </c>
      <c r="T110" s="653">
        <f t="shared" si="62"/>
        <v>0</v>
      </c>
      <c r="U110" s="654">
        <f t="shared" si="62"/>
        <v>2644</v>
      </c>
      <c r="V110" s="654">
        <f t="shared" si="62"/>
        <v>14999</v>
      </c>
      <c r="W110" s="654">
        <f t="shared" si="62"/>
        <v>11850</v>
      </c>
      <c r="X110" s="654">
        <f t="shared" si="62"/>
        <v>2139</v>
      </c>
      <c r="Y110" s="656">
        <f t="shared" si="62"/>
        <v>0</v>
      </c>
      <c r="Z110" s="652">
        <f t="shared" si="62"/>
        <v>0</v>
      </c>
      <c r="AA110" s="653">
        <f t="shared" si="62"/>
        <v>0</v>
      </c>
      <c r="AB110" s="654">
        <f t="shared" si="62"/>
        <v>0</v>
      </c>
      <c r="AC110" s="654">
        <f t="shared" si="62"/>
        <v>0</v>
      </c>
      <c r="AD110" s="654">
        <f t="shared" si="62"/>
        <v>0</v>
      </c>
      <c r="AE110" s="654">
        <f t="shared" si="62"/>
        <v>0</v>
      </c>
      <c r="AF110" s="656">
        <f t="shared" si="62"/>
        <v>0</v>
      </c>
      <c r="AG110" s="306"/>
    </row>
    <row r="111" spans="1:33" s="261" customFormat="1">
      <c r="A111" s="277">
        <v>1</v>
      </c>
      <c r="B111" s="1550" t="s">
        <v>949</v>
      </c>
      <c r="C111" s="1554">
        <v>0</v>
      </c>
      <c r="D111" s="1558" t="s">
        <v>760</v>
      </c>
      <c r="E111" s="2921"/>
      <c r="F111" s="794"/>
      <c r="G111" s="781"/>
      <c r="H111" s="781"/>
      <c r="I111" s="781"/>
      <c r="J111" s="781"/>
      <c r="K111" s="2342"/>
      <c r="L111" s="2921"/>
      <c r="M111" s="794"/>
      <c r="N111" s="781"/>
      <c r="O111" s="781"/>
      <c r="P111" s="781"/>
      <c r="Q111" s="781"/>
      <c r="R111" s="2342"/>
      <c r="S111" s="2921"/>
      <c r="T111" s="794"/>
      <c r="U111" s="781"/>
      <c r="V111" s="781"/>
      <c r="W111" s="781"/>
      <c r="X111" s="781"/>
      <c r="Y111" s="790"/>
      <c r="Z111" s="2979"/>
      <c r="AA111" s="2980"/>
      <c r="AB111" s="2981"/>
      <c r="AC111" s="2981"/>
      <c r="AD111" s="2981"/>
      <c r="AE111" s="2981"/>
      <c r="AF111" s="2982"/>
      <c r="AG111" s="306"/>
    </row>
    <row r="112" spans="1:33" s="261" customFormat="1">
      <c r="A112" s="277">
        <v>2</v>
      </c>
      <c r="B112" s="1552" t="s">
        <v>950</v>
      </c>
      <c r="C112" s="1554">
        <v>0.03</v>
      </c>
      <c r="D112" s="1556" t="s">
        <v>598</v>
      </c>
      <c r="E112" s="2921"/>
      <c r="F112" s="794"/>
      <c r="G112" s="781"/>
      <c r="H112" s="781"/>
      <c r="I112" s="781"/>
      <c r="J112" s="781"/>
      <c r="K112" s="2342"/>
      <c r="L112" s="2921"/>
      <c r="M112" s="794"/>
      <c r="N112" s="781"/>
      <c r="O112" s="781"/>
      <c r="P112" s="781"/>
      <c r="Q112" s="781"/>
      <c r="R112" s="2342"/>
      <c r="S112" s="2921"/>
      <c r="T112" s="794"/>
      <c r="U112" s="781"/>
      <c r="V112" s="781"/>
      <c r="W112" s="781"/>
      <c r="X112" s="781"/>
      <c r="Y112" s="790"/>
      <c r="Z112" s="2921"/>
      <c r="AA112" s="2983"/>
      <c r="AB112" s="2984"/>
      <c r="AC112" s="2984"/>
      <c r="AD112" s="2984"/>
      <c r="AE112" s="2984"/>
      <c r="AF112" s="2985"/>
      <c r="AG112" s="306"/>
    </row>
    <row r="113" spans="1:33" s="261" customFormat="1">
      <c r="A113" s="277">
        <v>3</v>
      </c>
      <c r="B113" s="1552">
        <v>911301</v>
      </c>
      <c r="C113" s="1553">
        <v>0.1</v>
      </c>
      <c r="D113" s="1556" t="s">
        <v>599</v>
      </c>
      <c r="E113" s="2921"/>
      <c r="F113" s="794"/>
      <c r="G113" s="781"/>
      <c r="H113" s="781"/>
      <c r="I113" s="781"/>
      <c r="J113" s="781"/>
      <c r="K113" s="2342"/>
      <c r="L113" s="2921"/>
      <c r="M113" s="794"/>
      <c r="N113" s="781"/>
      <c r="O113" s="781"/>
      <c r="P113" s="781"/>
      <c r="Q113" s="781"/>
      <c r="R113" s="2342"/>
      <c r="S113" s="2921"/>
      <c r="T113" s="794"/>
      <c r="U113" s="781"/>
      <c r="V113" s="781"/>
      <c r="W113" s="781"/>
      <c r="X113" s="781"/>
      <c r="Y113" s="790"/>
      <c r="Z113" s="2921"/>
      <c r="AA113" s="2983"/>
      <c r="AB113" s="2984"/>
      <c r="AC113" s="2984"/>
      <c r="AD113" s="2984"/>
      <c r="AE113" s="2984"/>
      <c r="AF113" s="2985"/>
      <c r="AG113" s="306"/>
    </row>
    <row r="114" spans="1:33" s="261" customFormat="1">
      <c r="A114" s="277">
        <v>4</v>
      </c>
      <c r="B114" s="1552">
        <v>911302</v>
      </c>
      <c r="C114" s="1553">
        <v>0.1</v>
      </c>
      <c r="D114" s="1556" t="s">
        <v>600</v>
      </c>
      <c r="E114" s="2921"/>
      <c r="F114" s="794"/>
      <c r="G114" s="781"/>
      <c r="H114" s="781"/>
      <c r="I114" s="781"/>
      <c r="J114" s="781"/>
      <c r="K114" s="2342"/>
      <c r="L114" s="2921"/>
      <c r="M114" s="794"/>
      <c r="N114" s="781"/>
      <c r="O114" s="781"/>
      <c r="P114" s="781"/>
      <c r="Q114" s="781"/>
      <c r="R114" s="2342"/>
      <c r="S114" s="2921"/>
      <c r="T114" s="794"/>
      <c r="U114" s="781"/>
      <c r="V114" s="781"/>
      <c r="W114" s="781"/>
      <c r="X114" s="781"/>
      <c r="Y114" s="790"/>
      <c r="Z114" s="2921"/>
      <c r="AA114" s="2983"/>
      <c r="AB114" s="2984"/>
      <c r="AC114" s="2984"/>
      <c r="AD114" s="2984"/>
      <c r="AE114" s="2984"/>
      <c r="AF114" s="2985"/>
      <c r="AG114" s="306"/>
    </row>
    <row r="115" spans="1:33" s="261" customFormat="1">
      <c r="A115" s="277">
        <v>5</v>
      </c>
      <c r="B115" s="1552" t="s">
        <v>967</v>
      </c>
      <c r="C115" s="1553">
        <v>0.1</v>
      </c>
      <c r="D115" s="1546" t="s">
        <v>579</v>
      </c>
      <c r="E115" s="2921"/>
      <c r="F115" s="794"/>
      <c r="G115" s="781"/>
      <c r="H115" s="781"/>
      <c r="I115" s="781"/>
      <c r="J115" s="781"/>
      <c r="K115" s="2342"/>
      <c r="L115" s="2921"/>
      <c r="M115" s="794"/>
      <c r="N115" s="781"/>
      <c r="O115" s="781"/>
      <c r="P115" s="781"/>
      <c r="Q115" s="781"/>
      <c r="R115" s="2342"/>
      <c r="S115" s="2921"/>
      <c r="T115" s="794"/>
      <c r="U115" s="781"/>
      <c r="V115" s="781"/>
      <c r="W115" s="781"/>
      <c r="X115" s="781"/>
      <c r="Y115" s="790"/>
      <c r="Z115" s="2921"/>
      <c r="AA115" s="2983"/>
      <c r="AB115" s="2984"/>
      <c r="AC115" s="2984"/>
      <c r="AD115" s="2984"/>
      <c r="AE115" s="2984"/>
      <c r="AF115" s="2985"/>
      <c r="AG115" s="306"/>
    </row>
    <row r="116" spans="1:33" s="261" customFormat="1">
      <c r="A116" s="277">
        <v>6</v>
      </c>
      <c r="B116" s="1552" t="s">
        <v>968</v>
      </c>
      <c r="C116" s="1553">
        <v>0.1</v>
      </c>
      <c r="D116" s="1546" t="s">
        <v>580</v>
      </c>
      <c r="E116" s="2921"/>
      <c r="F116" s="794"/>
      <c r="G116" s="781"/>
      <c r="H116" s="781"/>
      <c r="I116" s="781"/>
      <c r="J116" s="781"/>
      <c r="K116" s="2342"/>
      <c r="L116" s="2921"/>
      <c r="M116" s="794"/>
      <c r="N116" s="781"/>
      <c r="O116" s="781"/>
      <c r="P116" s="781"/>
      <c r="Q116" s="781"/>
      <c r="R116" s="2342"/>
      <c r="S116" s="2921"/>
      <c r="T116" s="794"/>
      <c r="U116" s="781"/>
      <c r="V116" s="781"/>
      <c r="W116" s="781"/>
      <c r="X116" s="781"/>
      <c r="Y116" s="790"/>
      <c r="Z116" s="2921"/>
      <c r="AA116" s="2983"/>
      <c r="AB116" s="2984"/>
      <c r="AC116" s="2984"/>
      <c r="AD116" s="2984"/>
      <c r="AE116" s="2984"/>
      <c r="AF116" s="2985"/>
      <c r="AG116" s="306"/>
    </row>
    <row r="117" spans="1:33" s="261" customFormat="1" ht="24">
      <c r="A117" s="277">
        <v>7</v>
      </c>
      <c r="B117" s="1552" t="s">
        <v>959</v>
      </c>
      <c r="C117" s="1553">
        <v>0.1</v>
      </c>
      <c r="D117" s="1546" t="s">
        <v>948</v>
      </c>
      <c r="E117" s="2921"/>
      <c r="F117" s="794"/>
      <c r="G117" s="781"/>
      <c r="H117" s="781"/>
      <c r="I117" s="781"/>
      <c r="J117" s="781"/>
      <c r="K117" s="2342"/>
      <c r="L117" s="2921"/>
      <c r="M117" s="794"/>
      <c r="N117" s="781"/>
      <c r="O117" s="781"/>
      <c r="P117" s="781"/>
      <c r="Q117" s="781"/>
      <c r="R117" s="2342"/>
      <c r="S117" s="2921"/>
      <c r="T117" s="794"/>
      <c r="U117" s="781"/>
      <c r="V117" s="781"/>
      <c r="W117" s="781"/>
      <c r="X117" s="781"/>
      <c r="Y117" s="790"/>
      <c r="Z117" s="2921"/>
      <c r="AA117" s="2983"/>
      <c r="AB117" s="2984"/>
      <c r="AC117" s="2984"/>
      <c r="AD117" s="2984"/>
      <c r="AE117" s="2984"/>
      <c r="AF117" s="2985"/>
      <c r="AG117" s="306"/>
    </row>
    <row r="118" spans="1:33" s="261" customFormat="1">
      <c r="A118" s="277">
        <v>8</v>
      </c>
      <c r="B118" s="1552" t="s">
        <v>969</v>
      </c>
      <c r="C118" s="1553">
        <v>0.1</v>
      </c>
      <c r="D118" s="1546" t="s">
        <v>966</v>
      </c>
      <c r="E118" s="2921"/>
      <c r="F118" s="794"/>
      <c r="G118" s="781">
        <v>205</v>
      </c>
      <c r="H118" s="781"/>
      <c r="I118" s="781"/>
      <c r="J118" s="781"/>
      <c r="K118" s="2342"/>
      <c r="L118" s="2921"/>
      <c r="M118" s="794"/>
      <c r="N118" s="781"/>
      <c r="O118" s="781"/>
      <c r="P118" s="781"/>
      <c r="Q118" s="781"/>
      <c r="R118" s="2342"/>
      <c r="S118" s="2921"/>
      <c r="T118" s="794"/>
      <c r="U118" s="781"/>
      <c r="V118" s="781"/>
      <c r="W118" s="781"/>
      <c r="X118" s="781"/>
      <c r="Y118" s="790"/>
      <c r="Z118" s="2921"/>
      <c r="AA118" s="2983"/>
      <c r="AB118" s="2984"/>
      <c r="AC118" s="2984"/>
      <c r="AD118" s="2984"/>
      <c r="AE118" s="2984"/>
      <c r="AF118" s="2985"/>
      <c r="AG118" s="306"/>
    </row>
    <row r="119" spans="1:33" s="261" customFormat="1">
      <c r="A119" s="606">
        <v>9</v>
      </c>
      <c r="B119" s="1552">
        <v>911306</v>
      </c>
      <c r="C119" s="1553">
        <v>0.1</v>
      </c>
      <c r="D119" s="1556" t="s">
        <v>1471</v>
      </c>
      <c r="E119" s="2921"/>
      <c r="F119" s="794"/>
      <c r="G119" s="781"/>
      <c r="H119" s="781"/>
      <c r="I119" s="781"/>
      <c r="J119" s="781"/>
      <c r="K119" s="2342"/>
      <c r="L119" s="2921"/>
      <c r="M119" s="794"/>
      <c r="N119" s="781"/>
      <c r="O119" s="781"/>
      <c r="P119" s="781"/>
      <c r="Q119" s="781"/>
      <c r="R119" s="2342"/>
      <c r="S119" s="2921"/>
      <c r="T119" s="794"/>
      <c r="U119" s="781"/>
      <c r="V119" s="781"/>
      <c r="W119" s="781"/>
      <c r="X119" s="781"/>
      <c r="Y119" s="790"/>
      <c r="Z119" s="2921"/>
      <c r="AA119" s="2983"/>
      <c r="AB119" s="2984"/>
      <c r="AC119" s="2984"/>
      <c r="AD119" s="2984"/>
      <c r="AE119" s="2984"/>
      <c r="AF119" s="2985"/>
      <c r="AG119" s="306"/>
    </row>
    <row r="120" spans="1:33" s="261" customFormat="1">
      <c r="A120" s="606">
        <v>10</v>
      </c>
      <c r="B120" s="1552">
        <v>91140101</v>
      </c>
      <c r="C120" s="1557">
        <v>0.1</v>
      </c>
      <c r="D120" s="1558" t="s">
        <v>1442</v>
      </c>
      <c r="E120" s="2921"/>
      <c r="F120" s="794"/>
      <c r="G120" s="781"/>
      <c r="H120" s="781"/>
      <c r="I120" s="781"/>
      <c r="J120" s="781"/>
      <c r="K120" s="2342"/>
      <c r="L120" s="2921"/>
      <c r="M120" s="794"/>
      <c r="N120" s="781"/>
      <c r="O120" s="781"/>
      <c r="P120" s="781"/>
      <c r="Q120" s="781"/>
      <c r="R120" s="2342"/>
      <c r="S120" s="2921"/>
      <c r="T120" s="794"/>
      <c r="U120" s="781"/>
      <c r="V120" s="781"/>
      <c r="W120" s="781"/>
      <c r="X120" s="781"/>
      <c r="Y120" s="790"/>
      <c r="Z120" s="2921"/>
      <c r="AA120" s="2983"/>
      <c r="AB120" s="2984"/>
      <c r="AC120" s="2984"/>
      <c r="AD120" s="2984"/>
      <c r="AE120" s="2984"/>
      <c r="AF120" s="2985"/>
      <c r="AG120" s="306"/>
    </row>
    <row r="121" spans="1:33" s="261" customFormat="1">
      <c r="A121" s="606">
        <v>11</v>
      </c>
      <c r="B121" s="1552">
        <v>91140102</v>
      </c>
      <c r="C121" s="1557">
        <v>0.04</v>
      </c>
      <c r="D121" s="1558" t="s">
        <v>604</v>
      </c>
      <c r="E121" s="2921"/>
      <c r="F121" s="794"/>
      <c r="G121" s="781"/>
      <c r="H121" s="781"/>
      <c r="I121" s="781"/>
      <c r="J121" s="781"/>
      <c r="K121" s="2342"/>
      <c r="L121" s="2921"/>
      <c r="M121" s="794"/>
      <c r="N121" s="781"/>
      <c r="O121" s="781"/>
      <c r="P121" s="781"/>
      <c r="Q121" s="781"/>
      <c r="R121" s="2342"/>
      <c r="S121" s="2921"/>
      <c r="T121" s="794"/>
      <c r="U121" s="781"/>
      <c r="V121" s="781"/>
      <c r="W121" s="781"/>
      <c r="X121" s="781"/>
      <c r="Y121" s="790"/>
      <c r="Z121" s="2921"/>
      <c r="AA121" s="2983"/>
      <c r="AB121" s="2984"/>
      <c r="AC121" s="2984"/>
      <c r="AD121" s="2984"/>
      <c r="AE121" s="2984"/>
      <c r="AF121" s="2985"/>
      <c r="AG121" s="306"/>
    </row>
    <row r="122" spans="1:33" s="261" customFormat="1">
      <c r="A122" s="606">
        <v>12</v>
      </c>
      <c r="B122" s="1552" t="s">
        <v>951</v>
      </c>
      <c r="C122" s="1553">
        <v>0.02</v>
      </c>
      <c r="D122" s="1544" t="s">
        <v>1007</v>
      </c>
      <c r="E122" s="2921"/>
      <c r="F122" s="794"/>
      <c r="G122" s="781"/>
      <c r="H122" s="781"/>
      <c r="I122" s="781"/>
      <c r="J122" s="781"/>
      <c r="K122" s="2342"/>
      <c r="L122" s="2921"/>
      <c r="M122" s="794"/>
      <c r="N122" s="781"/>
      <c r="O122" s="781"/>
      <c r="P122" s="781"/>
      <c r="Q122" s="781"/>
      <c r="R122" s="2342"/>
      <c r="S122" s="2921"/>
      <c r="T122" s="794"/>
      <c r="U122" s="781"/>
      <c r="V122" s="781"/>
      <c r="W122" s="781"/>
      <c r="X122" s="781"/>
      <c r="Y122" s="790"/>
      <c r="Z122" s="2921"/>
      <c r="AA122" s="2983"/>
      <c r="AB122" s="2984"/>
      <c r="AC122" s="2984"/>
      <c r="AD122" s="2984"/>
      <c r="AE122" s="2984"/>
      <c r="AF122" s="2985"/>
      <c r="AG122" s="306"/>
    </row>
    <row r="123" spans="1:33" s="261" customFormat="1">
      <c r="A123" s="606">
        <v>13</v>
      </c>
      <c r="B123" s="1552" t="s">
        <v>952</v>
      </c>
      <c r="C123" s="1553">
        <v>0.02</v>
      </c>
      <c r="D123" s="1544" t="s">
        <v>1008</v>
      </c>
      <c r="E123" s="2921"/>
      <c r="F123" s="794"/>
      <c r="G123" s="781"/>
      <c r="H123" s="781"/>
      <c r="I123" s="781"/>
      <c r="J123" s="781"/>
      <c r="K123" s="2342"/>
      <c r="L123" s="2921"/>
      <c r="M123" s="794"/>
      <c r="N123" s="781"/>
      <c r="O123" s="781"/>
      <c r="P123" s="781"/>
      <c r="Q123" s="781"/>
      <c r="R123" s="2342"/>
      <c r="S123" s="2921"/>
      <c r="T123" s="794"/>
      <c r="U123" s="781"/>
      <c r="V123" s="781"/>
      <c r="W123" s="781"/>
      <c r="X123" s="781"/>
      <c r="Y123" s="790"/>
      <c r="Z123" s="2921"/>
      <c r="AA123" s="2983"/>
      <c r="AB123" s="2984"/>
      <c r="AC123" s="2984"/>
      <c r="AD123" s="2984"/>
      <c r="AE123" s="2984"/>
      <c r="AF123" s="2985"/>
      <c r="AG123" s="306"/>
    </row>
    <row r="124" spans="1:33" s="261" customFormat="1">
      <c r="A124" s="606">
        <v>14</v>
      </c>
      <c r="B124" s="1552" t="s">
        <v>953</v>
      </c>
      <c r="C124" s="1553">
        <v>0.02</v>
      </c>
      <c r="D124" s="1544" t="s">
        <v>590</v>
      </c>
      <c r="E124" s="2921"/>
      <c r="F124" s="794"/>
      <c r="G124" s="781"/>
      <c r="H124" s="781"/>
      <c r="I124" s="781"/>
      <c r="J124" s="781"/>
      <c r="K124" s="2342"/>
      <c r="L124" s="2921"/>
      <c r="M124" s="794"/>
      <c r="N124" s="781"/>
      <c r="O124" s="781"/>
      <c r="P124" s="781"/>
      <c r="Q124" s="781"/>
      <c r="R124" s="2342"/>
      <c r="S124" s="2921"/>
      <c r="T124" s="794"/>
      <c r="U124" s="781"/>
      <c r="V124" s="781"/>
      <c r="W124" s="781"/>
      <c r="X124" s="781"/>
      <c r="Y124" s="790"/>
      <c r="Z124" s="2921"/>
      <c r="AA124" s="2983"/>
      <c r="AB124" s="2984"/>
      <c r="AC124" s="2984"/>
      <c r="AD124" s="2984"/>
      <c r="AE124" s="2984"/>
      <c r="AF124" s="2985"/>
      <c r="AG124" s="306"/>
    </row>
    <row r="125" spans="1:33" s="261" customFormat="1">
      <c r="A125" s="606">
        <v>15</v>
      </c>
      <c r="B125" s="1552" t="s">
        <v>954</v>
      </c>
      <c r="C125" s="1553">
        <v>0.02</v>
      </c>
      <c r="D125" s="1558" t="s">
        <v>591</v>
      </c>
      <c r="E125" s="2921"/>
      <c r="F125" s="794"/>
      <c r="G125" s="781"/>
      <c r="H125" s="781"/>
      <c r="I125" s="781"/>
      <c r="J125" s="781"/>
      <c r="K125" s="2342"/>
      <c r="L125" s="2921"/>
      <c r="M125" s="794"/>
      <c r="N125" s="781"/>
      <c r="O125" s="781"/>
      <c r="P125" s="781"/>
      <c r="Q125" s="781"/>
      <c r="R125" s="2342"/>
      <c r="S125" s="2921"/>
      <c r="T125" s="794"/>
      <c r="U125" s="781"/>
      <c r="V125" s="781"/>
      <c r="W125" s="781"/>
      <c r="X125" s="781"/>
      <c r="Y125" s="790"/>
      <c r="Z125" s="2921"/>
      <c r="AA125" s="2983"/>
      <c r="AB125" s="2984"/>
      <c r="AC125" s="2984"/>
      <c r="AD125" s="2984"/>
      <c r="AE125" s="2984"/>
      <c r="AF125" s="2985"/>
      <c r="AG125" s="306"/>
    </row>
    <row r="126" spans="1:33" s="261" customFormat="1">
      <c r="A126" s="606">
        <v>16</v>
      </c>
      <c r="B126" s="1552" t="s">
        <v>955</v>
      </c>
      <c r="C126" s="1553">
        <v>0.02</v>
      </c>
      <c r="D126" s="1544" t="s">
        <v>592</v>
      </c>
      <c r="E126" s="2921"/>
      <c r="F126" s="794"/>
      <c r="G126" s="781">
        <v>3504</v>
      </c>
      <c r="H126" s="781">
        <v>7006</v>
      </c>
      <c r="I126" s="781">
        <v>11479</v>
      </c>
      <c r="J126" s="781">
        <v>8592</v>
      </c>
      <c r="K126" s="2342"/>
      <c r="L126" s="2921"/>
      <c r="M126" s="794"/>
      <c r="N126" s="781"/>
      <c r="O126" s="781"/>
      <c r="P126" s="781"/>
      <c r="Q126" s="781"/>
      <c r="R126" s="2342"/>
      <c r="S126" s="2921"/>
      <c r="T126" s="794"/>
      <c r="U126" s="781"/>
      <c r="V126" s="781"/>
      <c r="W126" s="781"/>
      <c r="X126" s="781"/>
      <c r="Y126" s="790"/>
      <c r="Z126" s="2921"/>
      <c r="AA126" s="2983"/>
      <c r="AB126" s="2984"/>
      <c r="AC126" s="2984"/>
      <c r="AD126" s="2984"/>
      <c r="AE126" s="2984"/>
      <c r="AF126" s="2985"/>
      <c r="AG126" s="306"/>
    </row>
    <row r="127" spans="1:33" s="261" customFormat="1">
      <c r="A127" s="606">
        <v>17</v>
      </c>
      <c r="B127" s="1552" t="s">
        <v>956</v>
      </c>
      <c r="C127" s="1553">
        <v>0.02</v>
      </c>
      <c r="D127" s="1546" t="s">
        <v>593</v>
      </c>
      <c r="E127" s="2921"/>
      <c r="F127" s="794"/>
      <c r="G127" s="781"/>
      <c r="H127" s="781"/>
      <c r="I127" s="781"/>
      <c r="J127" s="781"/>
      <c r="K127" s="2342"/>
      <c r="L127" s="2921"/>
      <c r="M127" s="794"/>
      <c r="N127" s="781">
        <v>9305</v>
      </c>
      <c r="O127" s="781"/>
      <c r="P127" s="781">
        <v>4121</v>
      </c>
      <c r="Q127" s="781">
        <v>49342</v>
      </c>
      <c r="R127" s="2342"/>
      <c r="S127" s="2921"/>
      <c r="T127" s="794"/>
      <c r="U127" s="781"/>
      <c r="V127" s="781"/>
      <c r="W127" s="781"/>
      <c r="X127" s="781"/>
      <c r="Y127" s="790"/>
      <c r="Z127" s="2921"/>
      <c r="AA127" s="2983"/>
      <c r="AB127" s="2984"/>
      <c r="AC127" s="2984"/>
      <c r="AD127" s="2984"/>
      <c r="AE127" s="2984"/>
      <c r="AF127" s="2985"/>
      <c r="AG127" s="306"/>
    </row>
    <row r="128" spans="1:33" s="261" customFormat="1" ht="24">
      <c r="A128" s="606">
        <v>18</v>
      </c>
      <c r="B128" s="1552" t="s">
        <v>957</v>
      </c>
      <c r="C128" s="1553">
        <v>0.04</v>
      </c>
      <c r="D128" s="1546" t="s">
        <v>594</v>
      </c>
      <c r="E128" s="2921"/>
      <c r="F128" s="794"/>
      <c r="G128" s="781"/>
      <c r="H128" s="781"/>
      <c r="I128" s="781"/>
      <c r="J128" s="781"/>
      <c r="K128" s="2342"/>
      <c r="L128" s="2921"/>
      <c r="M128" s="794"/>
      <c r="N128" s="781"/>
      <c r="O128" s="781"/>
      <c r="P128" s="781"/>
      <c r="Q128" s="781"/>
      <c r="R128" s="2342"/>
      <c r="S128" s="2921"/>
      <c r="T128" s="794"/>
      <c r="U128" s="781">
        <v>2644</v>
      </c>
      <c r="V128" s="781">
        <v>14999</v>
      </c>
      <c r="W128" s="781">
        <v>11850</v>
      </c>
      <c r="X128" s="781">
        <v>2139</v>
      </c>
      <c r="Y128" s="790"/>
      <c r="Z128" s="2921"/>
      <c r="AA128" s="2983"/>
      <c r="AB128" s="2984"/>
      <c r="AC128" s="2984"/>
      <c r="AD128" s="2984"/>
      <c r="AE128" s="2984"/>
      <c r="AF128" s="2985"/>
      <c r="AG128" s="306"/>
    </row>
    <row r="129" spans="1:33" s="261" customFormat="1">
      <c r="A129" s="606">
        <v>19</v>
      </c>
      <c r="B129" s="1552" t="s">
        <v>958</v>
      </c>
      <c r="C129" s="1553">
        <v>0.04</v>
      </c>
      <c r="D129" s="1546" t="s">
        <v>595</v>
      </c>
      <c r="E129" s="2921"/>
      <c r="F129" s="794"/>
      <c r="G129" s="781"/>
      <c r="H129" s="781"/>
      <c r="I129" s="781"/>
      <c r="J129" s="781"/>
      <c r="K129" s="2342"/>
      <c r="L129" s="2921"/>
      <c r="M129" s="794"/>
      <c r="N129" s="781"/>
      <c r="O129" s="781"/>
      <c r="P129" s="781"/>
      <c r="Q129" s="781"/>
      <c r="R129" s="2342"/>
      <c r="S129" s="2921"/>
      <c r="T129" s="794"/>
      <c r="U129" s="781"/>
      <c r="V129" s="781"/>
      <c r="W129" s="781"/>
      <c r="X129" s="781"/>
      <c r="Y129" s="790"/>
      <c r="Z129" s="2921"/>
      <c r="AA129" s="2983"/>
      <c r="AB129" s="2984"/>
      <c r="AC129" s="2984"/>
      <c r="AD129" s="2984"/>
      <c r="AE129" s="2984"/>
      <c r="AF129" s="2985"/>
      <c r="AG129" s="306"/>
    </row>
    <row r="130" spans="1:33" s="261" customFormat="1">
      <c r="A130" s="606">
        <v>20</v>
      </c>
      <c r="B130" s="1552" t="s">
        <v>970</v>
      </c>
      <c r="C130" s="1553">
        <v>0.04</v>
      </c>
      <c r="D130" s="1556" t="s">
        <v>606</v>
      </c>
      <c r="E130" s="2921"/>
      <c r="F130" s="794"/>
      <c r="G130" s="781"/>
      <c r="H130" s="781"/>
      <c r="I130" s="781"/>
      <c r="J130" s="781"/>
      <c r="K130" s="2342"/>
      <c r="L130" s="2921"/>
      <c r="M130" s="794"/>
      <c r="N130" s="781"/>
      <c r="O130" s="781"/>
      <c r="P130" s="781"/>
      <c r="Q130" s="781"/>
      <c r="R130" s="2342"/>
      <c r="S130" s="2921"/>
      <c r="T130" s="794"/>
      <c r="U130" s="781"/>
      <c r="V130" s="781"/>
      <c r="W130" s="781"/>
      <c r="X130" s="781"/>
      <c r="Y130" s="790"/>
      <c r="Z130" s="2921"/>
      <c r="AA130" s="2983"/>
      <c r="AB130" s="2984"/>
      <c r="AC130" s="2984"/>
      <c r="AD130" s="2984"/>
      <c r="AE130" s="2984"/>
      <c r="AF130" s="2985"/>
      <c r="AG130" s="306"/>
    </row>
    <row r="131" spans="1:33" s="261" customFormat="1" ht="24.75" thickBot="1">
      <c r="A131" s="606">
        <v>21</v>
      </c>
      <c r="B131" s="1552" t="s">
        <v>960</v>
      </c>
      <c r="C131" s="1765">
        <v>0.2</v>
      </c>
      <c r="D131" s="1546" t="s">
        <v>911</v>
      </c>
      <c r="E131" s="2921"/>
      <c r="F131" s="794"/>
      <c r="G131" s="781"/>
      <c r="H131" s="781"/>
      <c r="I131" s="781"/>
      <c r="J131" s="781"/>
      <c r="K131" s="2342"/>
      <c r="L131" s="2921"/>
      <c r="M131" s="794"/>
      <c r="N131" s="781"/>
      <c r="O131" s="781"/>
      <c r="P131" s="781"/>
      <c r="Q131" s="781"/>
      <c r="R131" s="2342"/>
      <c r="S131" s="2921"/>
      <c r="T131" s="794"/>
      <c r="U131" s="781"/>
      <c r="V131" s="781"/>
      <c r="W131" s="781"/>
      <c r="X131" s="781"/>
      <c r="Y131" s="790"/>
      <c r="Z131" s="2924"/>
      <c r="AA131" s="2986"/>
      <c r="AB131" s="2987"/>
      <c r="AC131" s="2987"/>
      <c r="AD131" s="2987"/>
      <c r="AE131" s="2987"/>
      <c r="AF131" s="2988"/>
      <c r="AG131" s="306"/>
    </row>
    <row r="132" spans="1:33" s="261" customFormat="1" ht="19.5" customHeight="1" thickBot="1">
      <c r="A132" s="2904" t="s">
        <v>644</v>
      </c>
      <c r="B132" s="2905"/>
      <c r="C132" s="2905"/>
      <c r="D132" s="2905" t="s">
        <v>1528</v>
      </c>
      <c r="E132" s="652">
        <f>SUM(E133:E153)</f>
        <v>0</v>
      </c>
      <c r="F132" s="653">
        <f>SUM(F133:F153)</f>
        <v>0</v>
      </c>
      <c r="G132" s="654">
        <f t="shared" ref="G132:AF132" si="63">SUM(G133:G153)</f>
        <v>0</v>
      </c>
      <c r="H132" s="654">
        <f t="shared" si="63"/>
        <v>0</v>
      </c>
      <c r="I132" s="654">
        <f t="shared" si="63"/>
        <v>560</v>
      </c>
      <c r="J132" s="654">
        <f t="shared" si="63"/>
        <v>630</v>
      </c>
      <c r="K132" s="655">
        <f t="shared" si="63"/>
        <v>0</v>
      </c>
      <c r="L132" s="340">
        <f t="shared" si="63"/>
        <v>0</v>
      </c>
      <c r="M132" s="653">
        <f t="shared" si="63"/>
        <v>0</v>
      </c>
      <c r="N132" s="654">
        <f t="shared" si="63"/>
        <v>0</v>
      </c>
      <c r="O132" s="654">
        <f t="shared" si="63"/>
        <v>0</v>
      </c>
      <c r="P132" s="654">
        <f t="shared" si="63"/>
        <v>0</v>
      </c>
      <c r="Q132" s="654">
        <f t="shared" si="63"/>
        <v>0</v>
      </c>
      <c r="R132" s="656">
        <f t="shared" si="63"/>
        <v>0</v>
      </c>
      <c r="S132" s="652">
        <f t="shared" si="63"/>
        <v>0</v>
      </c>
      <c r="T132" s="653">
        <f t="shared" si="63"/>
        <v>0</v>
      </c>
      <c r="U132" s="654">
        <f t="shared" si="63"/>
        <v>0</v>
      </c>
      <c r="V132" s="654">
        <f t="shared" si="63"/>
        <v>0</v>
      </c>
      <c r="W132" s="654">
        <f t="shared" si="63"/>
        <v>0</v>
      </c>
      <c r="X132" s="654">
        <f t="shared" si="63"/>
        <v>0</v>
      </c>
      <c r="Y132" s="656">
        <f t="shared" si="63"/>
        <v>0</v>
      </c>
      <c r="Z132" s="2989">
        <f t="shared" si="63"/>
        <v>0</v>
      </c>
      <c r="AA132" s="2990">
        <f t="shared" si="63"/>
        <v>0</v>
      </c>
      <c r="AB132" s="2991">
        <f t="shared" si="63"/>
        <v>0</v>
      </c>
      <c r="AC132" s="2991">
        <f t="shared" si="63"/>
        <v>0</v>
      </c>
      <c r="AD132" s="2991">
        <f t="shared" si="63"/>
        <v>0</v>
      </c>
      <c r="AE132" s="2991">
        <f t="shared" si="63"/>
        <v>0</v>
      </c>
      <c r="AF132" s="2992">
        <f t="shared" si="63"/>
        <v>0</v>
      </c>
      <c r="AG132" s="306"/>
    </row>
    <row r="133" spans="1:33" s="261" customFormat="1">
      <c r="A133" s="277">
        <v>1</v>
      </c>
      <c r="B133" s="1550" t="s">
        <v>949</v>
      </c>
      <c r="C133" s="1554">
        <v>0</v>
      </c>
      <c r="D133" s="1558" t="s">
        <v>760</v>
      </c>
      <c r="E133" s="2921"/>
      <c r="F133" s="794"/>
      <c r="G133" s="781"/>
      <c r="H133" s="781"/>
      <c r="I133" s="781"/>
      <c r="J133" s="781"/>
      <c r="K133" s="2342"/>
      <c r="L133" s="2921"/>
      <c r="M133" s="794"/>
      <c r="N133" s="781"/>
      <c r="O133" s="781"/>
      <c r="P133" s="781"/>
      <c r="Q133" s="781"/>
      <c r="R133" s="2342"/>
      <c r="S133" s="2921"/>
      <c r="T133" s="794"/>
      <c r="U133" s="781"/>
      <c r="V133" s="781"/>
      <c r="W133" s="781"/>
      <c r="X133" s="781"/>
      <c r="Y133" s="790"/>
      <c r="Z133" s="2979"/>
      <c r="AA133" s="2980"/>
      <c r="AB133" s="2981"/>
      <c r="AC133" s="2981"/>
      <c r="AD133" s="2981"/>
      <c r="AE133" s="2981"/>
      <c r="AF133" s="2982"/>
      <c r="AG133" s="306"/>
    </row>
    <row r="134" spans="1:33" s="261" customFormat="1">
      <c r="A134" s="277">
        <v>2</v>
      </c>
      <c r="B134" s="1552" t="s">
        <v>950</v>
      </c>
      <c r="C134" s="1554">
        <v>0.03</v>
      </c>
      <c r="D134" s="1556" t="s">
        <v>598</v>
      </c>
      <c r="E134" s="2921"/>
      <c r="F134" s="794"/>
      <c r="G134" s="781"/>
      <c r="H134" s="781"/>
      <c r="I134" s="781"/>
      <c r="J134" s="781"/>
      <c r="K134" s="2342"/>
      <c r="L134" s="2921"/>
      <c r="M134" s="794"/>
      <c r="N134" s="781"/>
      <c r="O134" s="781"/>
      <c r="P134" s="781"/>
      <c r="Q134" s="781"/>
      <c r="R134" s="2342"/>
      <c r="S134" s="2921"/>
      <c r="T134" s="794"/>
      <c r="U134" s="781"/>
      <c r="V134" s="781"/>
      <c r="W134" s="781"/>
      <c r="X134" s="781"/>
      <c r="Y134" s="790"/>
      <c r="Z134" s="2921"/>
      <c r="AA134" s="2983"/>
      <c r="AB134" s="2984"/>
      <c r="AC134" s="2984"/>
      <c r="AD134" s="2984"/>
      <c r="AE134" s="2984"/>
      <c r="AF134" s="2985"/>
      <c r="AG134" s="306"/>
    </row>
    <row r="135" spans="1:33" s="261" customFormat="1">
      <c r="A135" s="277">
        <v>3</v>
      </c>
      <c r="B135" s="1552">
        <v>911301</v>
      </c>
      <c r="C135" s="1553">
        <v>0.1</v>
      </c>
      <c r="D135" s="1556" t="s">
        <v>599</v>
      </c>
      <c r="E135" s="2921"/>
      <c r="F135" s="794"/>
      <c r="G135" s="781"/>
      <c r="H135" s="781"/>
      <c r="I135" s="781"/>
      <c r="J135" s="781"/>
      <c r="K135" s="2342"/>
      <c r="L135" s="2921"/>
      <c r="M135" s="794"/>
      <c r="N135" s="781"/>
      <c r="O135" s="781"/>
      <c r="P135" s="781"/>
      <c r="Q135" s="781"/>
      <c r="R135" s="2342"/>
      <c r="S135" s="2921"/>
      <c r="T135" s="794"/>
      <c r="U135" s="781"/>
      <c r="V135" s="781"/>
      <c r="W135" s="781"/>
      <c r="X135" s="781"/>
      <c r="Y135" s="790"/>
      <c r="Z135" s="2921"/>
      <c r="AA135" s="2983"/>
      <c r="AB135" s="2984"/>
      <c r="AC135" s="2984"/>
      <c r="AD135" s="2984"/>
      <c r="AE135" s="2984"/>
      <c r="AF135" s="2985"/>
      <c r="AG135" s="306"/>
    </row>
    <row r="136" spans="1:33" s="261" customFormat="1">
      <c r="A136" s="277">
        <v>4</v>
      </c>
      <c r="B136" s="1552">
        <v>911302</v>
      </c>
      <c r="C136" s="1553">
        <v>0.1</v>
      </c>
      <c r="D136" s="1556" t="s">
        <v>600</v>
      </c>
      <c r="E136" s="2921"/>
      <c r="F136" s="794"/>
      <c r="G136" s="781"/>
      <c r="H136" s="781"/>
      <c r="I136" s="781"/>
      <c r="J136" s="781"/>
      <c r="K136" s="2342"/>
      <c r="L136" s="2921"/>
      <c r="M136" s="794"/>
      <c r="N136" s="781"/>
      <c r="O136" s="781"/>
      <c r="P136" s="781"/>
      <c r="Q136" s="781"/>
      <c r="R136" s="2342"/>
      <c r="S136" s="2921"/>
      <c r="T136" s="794"/>
      <c r="U136" s="781"/>
      <c r="V136" s="781"/>
      <c r="W136" s="781"/>
      <c r="X136" s="781"/>
      <c r="Y136" s="790"/>
      <c r="Z136" s="2921"/>
      <c r="AA136" s="2983"/>
      <c r="AB136" s="2984"/>
      <c r="AC136" s="2984"/>
      <c r="AD136" s="2984"/>
      <c r="AE136" s="2984"/>
      <c r="AF136" s="2985"/>
      <c r="AG136" s="306"/>
    </row>
    <row r="137" spans="1:33" s="261" customFormat="1">
      <c r="A137" s="277">
        <v>5</v>
      </c>
      <c r="B137" s="1552" t="s">
        <v>967</v>
      </c>
      <c r="C137" s="1553">
        <v>0.1</v>
      </c>
      <c r="D137" s="1546" t="s">
        <v>579</v>
      </c>
      <c r="E137" s="2921"/>
      <c r="F137" s="794"/>
      <c r="G137" s="781"/>
      <c r="H137" s="781"/>
      <c r="I137" s="781"/>
      <c r="J137" s="781"/>
      <c r="K137" s="2342"/>
      <c r="L137" s="2921"/>
      <c r="M137" s="794"/>
      <c r="N137" s="781"/>
      <c r="O137" s="781"/>
      <c r="P137" s="781"/>
      <c r="Q137" s="781"/>
      <c r="R137" s="2342"/>
      <c r="S137" s="2921"/>
      <c r="T137" s="794"/>
      <c r="U137" s="781"/>
      <c r="V137" s="781"/>
      <c r="W137" s="781"/>
      <c r="X137" s="781"/>
      <c r="Y137" s="790"/>
      <c r="Z137" s="2921"/>
      <c r="AA137" s="2983"/>
      <c r="AB137" s="2984"/>
      <c r="AC137" s="2984"/>
      <c r="AD137" s="2984"/>
      <c r="AE137" s="2984"/>
      <c r="AF137" s="2985"/>
      <c r="AG137" s="306"/>
    </row>
    <row r="138" spans="1:33" s="261" customFormat="1">
      <c r="A138" s="277">
        <v>6</v>
      </c>
      <c r="B138" s="1552" t="s">
        <v>968</v>
      </c>
      <c r="C138" s="1553">
        <v>0.1</v>
      </c>
      <c r="D138" s="1546" t="s">
        <v>580</v>
      </c>
      <c r="E138" s="2921"/>
      <c r="F138" s="794"/>
      <c r="G138" s="781"/>
      <c r="H138" s="781"/>
      <c r="I138" s="781"/>
      <c r="J138" s="781"/>
      <c r="K138" s="2342"/>
      <c r="L138" s="2921"/>
      <c r="M138" s="794"/>
      <c r="N138" s="781"/>
      <c r="O138" s="781"/>
      <c r="P138" s="781"/>
      <c r="Q138" s="781"/>
      <c r="R138" s="2342"/>
      <c r="S138" s="2921"/>
      <c r="T138" s="794"/>
      <c r="U138" s="781"/>
      <c r="V138" s="781"/>
      <c r="W138" s="781"/>
      <c r="X138" s="781"/>
      <c r="Y138" s="790"/>
      <c r="Z138" s="2921"/>
      <c r="AA138" s="2983"/>
      <c r="AB138" s="2984"/>
      <c r="AC138" s="2984"/>
      <c r="AD138" s="2984"/>
      <c r="AE138" s="2984"/>
      <c r="AF138" s="2985"/>
      <c r="AG138" s="306"/>
    </row>
    <row r="139" spans="1:33" s="261" customFormat="1" ht="24">
      <c r="A139" s="277">
        <v>7</v>
      </c>
      <c r="B139" s="1552" t="s">
        <v>959</v>
      </c>
      <c r="C139" s="1553">
        <v>0.1</v>
      </c>
      <c r="D139" s="1546" t="s">
        <v>948</v>
      </c>
      <c r="E139" s="2921"/>
      <c r="F139" s="794"/>
      <c r="G139" s="781"/>
      <c r="H139" s="781"/>
      <c r="I139" s="781"/>
      <c r="J139" s="781"/>
      <c r="K139" s="2342"/>
      <c r="L139" s="2921"/>
      <c r="M139" s="794"/>
      <c r="N139" s="781"/>
      <c r="O139" s="781"/>
      <c r="P139" s="781"/>
      <c r="Q139" s="781"/>
      <c r="R139" s="2342"/>
      <c r="S139" s="2921"/>
      <c r="T139" s="794"/>
      <c r="U139" s="781"/>
      <c r="V139" s="781"/>
      <c r="W139" s="781"/>
      <c r="X139" s="781"/>
      <c r="Y139" s="790"/>
      <c r="Z139" s="2921"/>
      <c r="AA139" s="2983"/>
      <c r="AB139" s="2984"/>
      <c r="AC139" s="2984"/>
      <c r="AD139" s="2984"/>
      <c r="AE139" s="2984"/>
      <c r="AF139" s="2985"/>
      <c r="AG139" s="306"/>
    </row>
    <row r="140" spans="1:33" s="261" customFormat="1">
      <c r="A140" s="277">
        <v>8</v>
      </c>
      <c r="B140" s="1552" t="s">
        <v>969</v>
      </c>
      <c r="C140" s="1553">
        <v>0.1</v>
      </c>
      <c r="D140" s="1546" t="s">
        <v>966</v>
      </c>
      <c r="E140" s="2921"/>
      <c r="F140" s="794"/>
      <c r="G140" s="781"/>
      <c r="H140" s="781"/>
      <c r="I140" s="781">
        <v>380</v>
      </c>
      <c r="J140" s="781">
        <v>210</v>
      </c>
      <c r="K140" s="2342"/>
      <c r="L140" s="2921"/>
      <c r="M140" s="794"/>
      <c r="N140" s="781"/>
      <c r="O140" s="781"/>
      <c r="P140" s="781"/>
      <c r="Q140" s="781"/>
      <c r="R140" s="2342"/>
      <c r="S140" s="2921"/>
      <c r="T140" s="794"/>
      <c r="U140" s="781"/>
      <c r="V140" s="781"/>
      <c r="W140" s="781"/>
      <c r="X140" s="781"/>
      <c r="Y140" s="790"/>
      <c r="Z140" s="2921"/>
      <c r="AA140" s="2983"/>
      <c r="AB140" s="2984"/>
      <c r="AC140" s="2984"/>
      <c r="AD140" s="2984"/>
      <c r="AE140" s="2984"/>
      <c r="AF140" s="2985"/>
      <c r="AG140" s="306"/>
    </row>
    <row r="141" spans="1:33" s="261" customFormat="1">
      <c r="A141" s="606">
        <v>9</v>
      </c>
      <c r="B141" s="1552">
        <v>911306</v>
      </c>
      <c r="C141" s="1553">
        <v>0.1</v>
      </c>
      <c r="D141" s="1556" t="s">
        <v>1471</v>
      </c>
      <c r="E141" s="2921"/>
      <c r="F141" s="794"/>
      <c r="G141" s="781"/>
      <c r="H141" s="781"/>
      <c r="I141" s="781">
        <v>170</v>
      </c>
      <c r="J141" s="781">
        <v>50</v>
      </c>
      <c r="K141" s="2342"/>
      <c r="L141" s="2921"/>
      <c r="M141" s="794"/>
      <c r="N141" s="781"/>
      <c r="O141" s="781"/>
      <c r="P141" s="781"/>
      <c r="Q141" s="781"/>
      <c r="R141" s="2342"/>
      <c r="S141" s="2921"/>
      <c r="T141" s="794"/>
      <c r="U141" s="781"/>
      <c r="V141" s="781"/>
      <c r="W141" s="781"/>
      <c r="X141" s="781"/>
      <c r="Y141" s="790"/>
      <c r="Z141" s="2921"/>
      <c r="AA141" s="2983"/>
      <c r="AB141" s="2984"/>
      <c r="AC141" s="2984"/>
      <c r="AD141" s="2984"/>
      <c r="AE141" s="2984"/>
      <c r="AF141" s="2985"/>
      <c r="AG141" s="306"/>
    </row>
    <row r="142" spans="1:33" s="261" customFormat="1">
      <c r="A142" s="606">
        <v>10</v>
      </c>
      <c r="B142" s="1552">
        <v>91140101</v>
      </c>
      <c r="C142" s="1557">
        <v>0.1</v>
      </c>
      <c r="D142" s="1558" t="s">
        <v>1442</v>
      </c>
      <c r="E142" s="2921"/>
      <c r="F142" s="794"/>
      <c r="G142" s="781"/>
      <c r="H142" s="781"/>
      <c r="I142" s="781"/>
      <c r="J142" s="781"/>
      <c r="K142" s="2342"/>
      <c r="L142" s="2921"/>
      <c r="M142" s="794"/>
      <c r="N142" s="781"/>
      <c r="O142" s="781"/>
      <c r="P142" s="781"/>
      <c r="Q142" s="781"/>
      <c r="R142" s="2342"/>
      <c r="S142" s="2921"/>
      <c r="T142" s="794"/>
      <c r="U142" s="781"/>
      <c r="V142" s="781"/>
      <c r="W142" s="781"/>
      <c r="X142" s="781"/>
      <c r="Y142" s="790"/>
      <c r="Z142" s="2921"/>
      <c r="AA142" s="2983"/>
      <c r="AB142" s="2984"/>
      <c r="AC142" s="2984"/>
      <c r="AD142" s="2984"/>
      <c r="AE142" s="2984"/>
      <c r="AF142" s="2985"/>
      <c r="AG142" s="306"/>
    </row>
    <row r="143" spans="1:33" s="261" customFormat="1">
      <c r="A143" s="606">
        <v>11</v>
      </c>
      <c r="B143" s="1552">
        <v>91140102</v>
      </c>
      <c r="C143" s="1557">
        <v>0.04</v>
      </c>
      <c r="D143" s="1558" t="s">
        <v>604</v>
      </c>
      <c r="E143" s="2921"/>
      <c r="F143" s="794"/>
      <c r="G143" s="781"/>
      <c r="H143" s="781"/>
      <c r="I143" s="781"/>
      <c r="J143" s="781"/>
      <c r="K143" s="2342"/>
      <c r="L143" s="2921"/>
      <c r="M143" s="794"/>
      <c r="N143" s="781"/>
      <c r="O143" s="781"/>
      <c r="P143" s="781"/>
      <c r="Q143" s="781"/>
      <c r="R143" s="2342"/>
      <c r="S143" s="2921"/>
      <c r="T143" s="794"/>
      <c r="U143" s="781"/>
      <c r="V143" s="781"/>
      <c r="W143" s="781"/>
      <c r="X143" s="781"/>
      <c r="Y143" s="790"/>
      <c r="Z143" s="2921"/>
      <c r="AA143" s="2983"/>
      <c r="AB143" s="2984"/>
      <c r="AC143" s="2984"/>
      <c r="AD143" s="2984"/>
      <c r="AE143" s="2984"/>
      <c r="AF143" s="2985"/>
      <c r="AG143" s="306"/>
    </row>
    <row r="144" spans="1:33" s="261" customFormat="1">
      <c r="A144" s="606">
        <v>12</v>
      </c>
      <c r="B144" s="1552" t="s">
        <v>951</v>
      </c>
      <c r="C144" s="1553">
        <v>0.02</v>
      </c>
      <c r="D144" s="1544" t="s">
        <v>1007</v>
      </c>
      <c r="E144" s="2921"/>
      <c r="F144" s="794"/>
      <c r="G144" s="781"/>
      <c r="H144" s="781"/>
      <c r="I144" s="781"/>
      <c r="J144" s="781"/>
      <c r="K144" s="2342"/>
      <c r="L144" s="2921"/>
      <c r="M144" s="794"/>
      <c r="N144" s="781"/>
      <c r="O144" s="781"/>
      <c r="P144" s="781"/>
      <c r="Q144" s="781"/>
      <c r="R144" s="2342"/>
      <c r="S144" s="2921"/>
      <c r="T144" s="794"/>
      <c r="U144" s="781"/>
      <c r="V144" s="781"/>
      <c r="W144" s="781"/>
      <c r="X144" s="781"/>
      <c r="Y144" s="790"/>
      <c r="Z144" s="2921"/>
      <c r="AA144" s="2983"/>
      <c r="AB144" s="2984"/>
      <c r="AC144" s="2984"/>
      <c r="AD144" s="2984"/>
      <c r="AE144" s="2984"/>
      <c r="AF144" s="2985"/>
      <c r="AG144" s="306"/>
    </row>
    <row r="145" spans="1:33" s="261" customFormat="1">
      <c r="A145" s="606">
        <v>13</v>
      </c>
      <c r="B145" s="1552" t="s">
        <v>952</v>
      </c>
      <c r="C145" s="1553">
        <v>0.02</v>
      </c>
      <c r="D145" s="1544" t="s">
        <v>1008</v>
      </c>
      <c r="E145" s="2921"/>
      <c r="F145" s="794"/>
      <c r="G145" s="781"/>
      <c r="H145" s="781"/>
      <c r="I145" s="781"/>
      <c r="J145" s="781"/>
      <c r="K145" s="2342"/>
      <c r="L145" s="2921"/>
      <c r="M145" s="794"/>
      <c r="N145" s="781"/>
      <c r="O145" s="781"/>
      <c r="P145" s="781"/>
      <c r="Q145" s="781"/>
      <c r="R145" s="2342"/>
      <c r="S145" s="2921"/>
      <c r="T145" s="794"/>
      <c r="U145" s="781"/>
      <c r="V145" s="781"/>
      <c r="W145" s="781"/>
      <c r="X145" s="781"/>
      <c r="Y145" s="790"/>
      <c r="Z145" s="2921"/>
      <c r="AA145" s="2983"/>
      <c r="AB145" s="2984"/>
      <c r="AC145" s="2984"/>
      <c r="AD145" s="2984"/>
      <c r="AE145" s="2984"/>
      <c r="AF145" s="2985"/>
      <c r="AG145" s="306"/>
    </row>
    <row r="146" spans="1:33" s="261" customFormat="1">
      <c r="A146" s="606">
        <v>14</v>
      </c>
      <c r="B146" s="1552" t="s">
        <v>953</v>
      </c>
      <c r="C146" s="1553">
        <v>0.02</v>
      </c>
      <c r="D146" s="1544" t="s">
        <v>590</v>
      </c>
      <c r="E146" s="2921"/>
      <c r="F146" s="794"/>
      <c r="G146" s="781"/>
      <c r="H146" s="781"/>
      <c r="I146" s="781"/>
      <c r="J146" s="781"/>
      <c r="K146" s="2342"/>
      <c r="L146" s="2921"/>
      <c r="M146" s="794"/>
      <c r="N146" s="781"/>
      <c r="O146" s="781"/>
      <c r="P146" s="781"/>
      <c r="Q146" s="781"/>
      <c r="R146" s="2342"/>
      <c r="S146" s="2921"/>
      <c r="T146" s="794"/>
      <c r="U146" s="781"/>
      <c r="V146" s="781"/>
      <c r="W146" s="781"/>
      <c r="X146" s="781"/>
      <c r="Y146" s="790"/>
      <c r="Z146" s="2921"/>
      <c r="AA146" s="2983"/>
      <c r="AB146" s="2984"/>
      <c r="AC146" s="2984"/>
      <c r="AD146" s="2984"/>
      <c r="AE146" s="2984"/>
      <c r="AF146" s="2985"/>
      <c r="AG146" s="306"/>
    </row>
    <row r="147" spans="1:33" s="261" customFormat="1">
      <c r="A147" s="606">
        <v>15</v>
      </c>
      <c r="B147" s="1552" t="s">
        <v>954</v>
      </c>
      <c r="C147" s="1553">
        <v>0.02</v>
      </c>
      <c r="D147" s="1558" t="s">
        <v>591</v>
      </c>
      <c r="E147" s="2921"/>
      <c r="F147" s="794"/>
      <c r="G147" s="781"/>
      <c r="H147" s="781"/>
      <c r="I147" s="781"/>
      <c r="J147" s="781"/>
      <c r="K147" s="2342"/>
      <c r="L147" s="2921"/>
      <c r="M147" s="794"/>
      <c r="N147" s="781"/>
      <c r="O147" s="781"/>
      <c r="P147" s="781"/>
      <c r="Q147" s="781"/>
      <c r="R147" s="2342"/>
      <c r="S147" s="2921"/>
      <c r="T147" s="794"/>
      <c r="U147" s="781"/>
      <c r="V147" s="781"/>
      <c r="W147" s="781"/>
      <c r="X147" s="781"/>
      <c r="Y147" s="790"/>
      <c r="Z147" s="2921"/>
      <c r="AA147" s="2983"/>
      <c r="AB147" s="2984"/>
      <c r="AC147" s="2984"/>
      <c r="AD147" s="2984"/>
      <c r="AE147" s="2984"/>
      <c r="AF147" s="2985"/>
      <c r="AG147" s="306"/>
    </row>
    <row r="148" spans="1:33" s="261" customFormat="1">
      <c r="A148" s="606">
        <v>16</v>
      </c>
      <c r="B148" s="1552" t="s">
        <v>955</v>
      </c>
      <c r="C148" s="1553">
        <v>0.02</v>
      </c>
      <c r="D148" s="1544" t="s">
        <v>592</v>
      </c>
      <c r="E148" s="2921"/>
      <c r="F148" s="794"/>
      <c r="G148" s="781"/>
      <c r="H148" s="781"/>
      <c r="I148" s="781"/>
      <c r="J148" s="781"/>
      <c r="K148" s="2342"/>
      <c r="L148" s="2921"/>
      <c r="M148" s="794"/>
      <c r="N148" s="781"/>
      <c r="O148" s="781"/>
      <c r="P148" s="781"/>
      <c r="Q148" s="781"/>
      <c r="R148" s="2342"/>
      <c r="S148" s="2921"/>
      <c r="T148" s="794"/>
      <c r="U148" s="781"/>
      <c r="V148" s="781"/>
      <c r="W148" s="781"/>
      <c r="X148" s="781"/>
      <c r="Y148" s="790"/>
      <c r="Z148" s="2921"/>
      <c r="AA148" s="2983"/>
      <c r="AB148" s="2984"/>
      <c r="AC148" s="2984"/>
      <c r="AD148" s="2984"/>
      <c r="AE148" s="2984"/>
      <c r="AF148" s="2985"/>
      <c r="AG148" s="306"/>
    </row>
    <row r="149" spans="1:33" s="261" customFormat="1">
      <c r="A149" s="606">
        <v>17</v>
      </c>
      <c r="B149" s="1552" t="s">
        <v>956</v>
      </c>
      <c r="C149" s="1553">
        <v>0.02</v>
      </c>
      <c r="D149" s="1546" t="s">
        <v>593</v>
      </c>
      <c r="E149" s="2921"/>
      <c r="F149" s="794"/>
      <c r="G149" s="781"/>
      <c r="H149" s="781"/>
      <c r="I149" s="781"/>
      <c r="J149" s="781"/>
      <c r="K149" s="2342"/>
      <c r="L149" s="2921"/>
      <c r="M149" s="794"/>
      <c r="N149" s="781"/>
      <c r="O149" s="781"/>
      <c r="P149" s="781"/>
      <c r="Q149" s="781"/>
      <c r="R149" s="2342"/>
      <c r="S149" s="2921"/>
      <c r="T149" s="794"/>
      <c r="U149" s="781"/>
      <c r="V149" s="781"/>
      <c r="W149" s="781"/>
      <c r="X149" s="781"/>
      <c r="Y149" s="790"/>
      <c r="Z149" s="2921"/>
      <c r="AA149" s="2983"/>
      <c r="AB149" s="2984"/>
      <c r="AC149" s="2984"/>
      <c r="AD149" s="2984"/>
      <c r="AE149" s="2984"/>
      <c r="AF149" s="2985"/>
      <c r="AG149" s="306"/>
    </row>
    <row r="150" spans="1:33" s="261" customFormat="1" ht="24">
      <c r="A150" s="606">
        <v>18</v>
      </c>
      <c r="B150" s="1552" t="s">
        <v>957</v>
      </c>
      <c r="C150" s="1553">
        <v>0.04</v>
      </c>
      <c r="D150" s="1546" t="s">
        <v>594</v>
      </c>
      <c r="E150" s="2921"/>
      <c r="F150" s="794"/>
      <c r="G150" s="781"/>
      <c r="H150" s="781"/>
      <c r="I150" s="781"/>
      <c r="J150" s="781"/>
      <c r="K150" s="2342"/>
      <c r="L150" s="2921"/>
      <c r="M150" s="794"/>
      <c r="N150" s="781"/>
      <c r="O150" s="781"/>
      <c r="P150" s="781"/>
      <c r="Q150" s="781"/>
      <c r="R150" s="2342"/>
      <c r="S150" s="2921"/>
      <c r="T150" s="794"/>
      <c r="U150" s="781"/>
      <c r="V150" s="781"/>
      <c r="W150" s="781"/>
      <c r="X150" s="781"/>
      <c r="Y150" s="790"/>
      <c r="Z150" s="2921"/>
      <c r="AA150" s="2983"/>
      <c r="AB150" s="2984"/>
      <c r="AC150" s="2984"/>
      <c r="AD150" s="2984"/>
      <c r="AE150" s="2984"/>
      <c r="AF150" s="2985"/>
      <c r="AG150" s="306"/>
    </row>
    <row r="151" spans="1:33" s="261" customFormat="1">
      <c r="A151" s="606">
        <v>19</v>
      </c>
      <c r="B151" s="1552" t="s">
        <v>958</v>
      </c>
      <c r="C151" s="1553">
        <v>0.04</v>
      </c>
      <c r="D151" s="1546" t="s">
        <v>595</v>
      </c>
      <c r="E151" s="2921"/>
      <c r="F151" s="794"/>
      <c r="G151" s="781"/>
      <c r="H151" s="781"/>
      <c r="I151" s="781"/>
      <c r="J151" s="781"/>
      <c r="K151" s="2342"/>
      <c r="L151" s="2921"/>
      <c r="M151" s="794"/>
      <c r="N151" s="781"/>
      <c r="O151" s="781"/>
      <c r="P151" s="781"/>
      <c r="Q151" s="781"/>
      <c r="R151" s="2342"/>
      <c r="S151" s="2921"/>
      <c r="T151" s="794"/>
      <c r="U151" s="781"/>
      <c r="V151" s="781"/>
      <c r="W151" s="781"/>
      <c r="X151" s="781"/>
      <c r="Y151" s="790"/>
      <c r="Z151" s="2921"/>
      <c r="AA151" s="2983"/>
      <c r="AB151" s="2984"/>
      <c r="AC151" s="2984"/>
      <c r="AD151" s="2984"/>
      <c r="AE151" s="2984"/>
      <c r="AF151" s="2985"/>
      <c r="AG151" s="306"/>
    </row>
    <row r="152" spans="1:33" s="261" customFormat="1">
      <c r="A152" s="606">
        <v>20</v>
      </c>
      <c r="B152" s="1552" t="s">
        <v>970</v>
      </c>
      <c r="C152" s="1553">
        <v>0.04</v>
      </c>
      <c r="D152" s="1556" t="s">
        <v>606</v>
      </c>
      <c r="E152" s="2921"/>
      <c r="F152" s="794"/>
      <c r="G152" s="781"/>
      <c r="H152" s="781"/>
      <c r="I152" s="781"/>
      <c r="J152" s="781"/>
      <c r="K152" s="2342"/>
      <c r="L152" s="2921"/>
      <c r="M152" s="794"/>
      <c r="N152" s="781"/>
      <c r="O152" s="781"/>
      <c r="P152" s="781"/>
      <c r="Q152" s="781"/>
      <c r="R152" s="2342"/>
      <c r="S152" s="2921"/>
      <c r="T152" s="794"/>
      <c r="U152" s="781"/>
      <c r="V152" s="781"/>
      <c r="W152" s="781"/>
      <c r="X152" s="781"/>
      <c r="Y152" s="790"/>
      <c r="Z152" s="2921"/>
      <c r="AA152" s="2983"/>
      <c r="AB152" s="2984"/>
      <c r="AC152" s="2984"/>
      <c r="AD152" s="2984"/>
      <c r="AE152" s="2984"/>
      <c r="AF152" s="2985"/>
      <c r="AG152" s="306"/>
    </row>
    <row r="153" spans="1:33" s="261" customFormat="1" ht="24.75" thickBot="1">
      <c r="A153" s="606">
        <v>21</v>
      </c>
      <c r="B153" s="1552" t="s">
        <v>960</v>
      </c>
      <c r="C153" s="1765">
        <v>0.2</v>
      </c>
      <c r="D153" s="1546" t="s">
        <v>911</v>
      </c>
      <c r="E153" s="2921"/>
      <c r="F153" s="794"/>
      <c r="G153" s="781"/>
      <c r="H153" s="781"/>
      <c r="I153" s="781">
        <v>10</v>
      </c>
      <c r="J153" s="781">
        <v>370</v>
      </c>
      <c r="K153" s="2342"/>
      <c r="L153" s="2921"/>
      <c r="M153" s="794"/>
      <c r="N153" s="781"/>
      <c r="O153" s="781"/>
      <c r="P153" s="781"/>
      <c r="Q153" s="781"/>
      <c r="R153" s="2342"/>
      <c r="S153" s="2921"/>
      <c r="T153" s="794"/>
      <c r="U153" s="781"/>
      <c r="V153" s="781"/>
      <c r="W153" s="781"/>
      <c r="X153" s="781"/>
      <c r="Y153" s="790"/>
      <c r="Z153" s="2924"/>
      <c r="AA153" s="2986"/>
      <c r="AB153" s="2987"/>
      <c r="AC153" s="2987"/>
      <c r="AD153" s="2987"/>
      <c r="AE153" s="2987"/>
      <c r="AF153" s="2988"/>
      <c r="AG153" s="306"/>
    </row>
    <row r="154" spans="1:33" s="261" customFormat="1" ht="21.75" customHeight="1" thickBot="1">
      <c r="A154" s="2907">
        <v>2</v>
      </c>
      <c r="B154" s="2908"/>
      <c r="C154" s="2908"/>
      <c r="D154" s="2905" t="s">
        <v>281</v>
      </c>
      <c r="E154" s="652">
        <f>SUM(E155:E175)</f>
        <v>0</v>
      </c>
      <c r="F154" s="653">
        <f>SUM(F155:F175)</f>
        <v>0</v>
      </c>
      <c r="G154" s="654">
        <f t="shared" ref="G154:AF154" si="64">SUM(G155:G175)</f>
        <v>90.58</v>
      </c>
      <c r="H154" s="654">
        <f t="shared" si="64"/>
        <v>230.7</v>
      </c>
      <c r="I154" s="654">
        <f t="shared" si="64"/>
        <v>403.28</v>
      </c>
      <c r="J154" s="654">
        <f t="shared" si="64"/>
        <v>475.12</v>
      </c>
      <c r="K154" s="655">
        <f t="shared" si="64"/>
        <v>475.12</v>
      </c>
      <c r="L154" s="340">
        <f t="shared" si="64"/>
        <v>0</v>
      </c>
      <c r="M154" s="653">
        <f t="shared" si="64"/>
        <v>0</v>
      </c>
      <c r="N154" s="654">
        <f t="shared" si="64"/>
        <v>186.1</v>
      </c>
      <c r="O154" s="654">
        <f t="shared" si="64"/>
        <v>186.1</v>
      </c>
      <c r="P154" s="654">
        <f t="shared" si="64"/>
        <v>268.52</v>
      </c>
      <c r="Q154" s="654">
        <f t="shared" si="64"/>
        <v>1255.3600000000001</v>
      </c>
      <c r="R154" s="656">
        <f t="shared" si="64"/>
        <v>1255.3600000000001</v>
      </c>
      <c r="S154" s="652">
        <f t="shared" si="64"/>
        <v>0</v>
      </c>
      <c r="T154" s="653">
        <f t="shared" si="64"/>
        <v>0</v>
      </c>
      <c r="U154" s="654">
        <f t="shared" si="64"/>
        <v>105.76</v>
      </c>
      <c r="V154" s="654">
        <f t="shared" si="64"/>
        <v>705.72</v>
      </c>
      <c r="W154" s="654">
        <f t="shared" si="64"/>
        <v>1179.72</v>
      </c>
      <c r="X154" s="654">
        <f t="shared" si="64"/>
        <v>1265.28</v>
      </c>
      <c r="Y154" s="656">
        <f t="shared" si="64"/>
        <v>1265.28</v>
      </c>
      <c r="Z154" s="2989">
        <f t="shared" si="64"/>
        <v>0</v>
      </c>
      <c r="AA154" s="2990">
        <f t="shared" si="64"/>
        <v>0</v>
      </c>
      <c r="AB154" s="2991">
        <f t="shared" si="64"/>
        <v>0</v>
      </c>
      <c r="AC154" s="2991">
        <f t="shared" si="64"/>
        <v>0</v>
      </c>
      <c r="AD154" s="2991">
        <f t="shared" si="64"/>
        <v>0</v>
      </c>
      <c r="AE154" s="2991">
        <f t="shared" si="64"/>
        <v>0</v>
      </c>
      <c r="AF154" s="2992">
        <f t="shared" si="64"/>
        <v>0</v>
      </c>
      <c r="AG154" s="306"/>
    </row>
    <row r="155" spans="1:33" s="261" customFormat="1">
      <c r="A155" s="277">
        <v>1</v>
      </c>
      <c r="B155" s="1550" t="s">
        <v>949</v>
      </c>
      <c r="C155" s="1554">
        <v>0</v>
      </c>
      <c r="D155" s="1558" t="s">
        <v>760</v>
      </c>
      <c r="E155" s="2921"/>
      <c r="F155" s="643">
        <f>(E111*$C111)+(F111*$C111)-(F133*$C111)</f>
        <v>0</v>
      </c>
      <c r="G155" s="644">
        <f t="shared" ref="G155:K164" si="65">F155+(G111*$C111)-(G133*$C111)</f>
        <v>0</v>
      </c>
      <c r="H155" s="644">
        <f t="shared" si="65"/>
        <v>0</v>
      </c>
      <c r="I155" s="644">
        <f t="shared" si="65"/>
        <v>0</v>
      </c>
      <c r="J155" s="644">
        <f t="shared" si="65"/>
        <v>0</v>
      </c>
      <c r="K155" s="645">
        <f t="shared" si="65"/>
        <v>0</v>
      </c>
      <c r="L155" s="2921"/>
      <c r="M155" s="643">
        <f>(L111*$C111)+(M111*$C111)-(M133*$C111)</f>
        <v>0</v>
      </c>
      <c r="N155" s="644">
        <f t="shared" ref="N155:R164" si="66">M155+(N111*$C111)-(N133*$C111)</f>
        <v>0</v>
      </c>
      <c r="O155" s="644">
        <f t="shared" si="66"/>
        <v>0</v>
      </c>
      <c r="P155" s="644">
        <f t="shared" si="66"/>
        <v>0</v>
      </c>
      <c r="Q155" s="644">
        <f t="shared" si="66"/>
        <v>0</v>
      </c>
      <c r="R155" s="645">
        <f t="shared" si="66"/>
        <v>0</v>
      </c>
      <c r="S155" s="2921"/>
      <c r="T155" s="643">
        <f>(S111*$C111)+(T111*$C111)-(T133*$C111)</f>
        <v>0</v>
      </c>
      <c r="U155" s="644">
        <f t="shared" ref="U155:Y164" si="67">T155+(U111*$C111)-(U133*$C111)</f>
        <v>0</v>
      </c>
      <c r="V155" s="644">
        <f t="shared" si="67"/>
        <v>0</v>
      </c>
      <c r="W155" s="644">
        <f t="shared" si="67"/>
        <v>0</v>
      </c>
      <c r="X155" s="644">
        <f t="shared" si="67"/>
        <v>0</v>
      </c>
      <c r="Y155" s="645">
        <f t="shared" si="67"/>
        <v>0</v>
      </c>
      <c r="Z155" s="2979"/>
      <c r="AA155" s="2980"/>
      <c r="AB155" s="2981"/>
      <c r="AC155" s="2981"/>
      <c r="AD155" s="2981"/>
      <c r="AE155" s="2981"/>
      <c r="AF155" s="2982"/>
      <c r="AG155" s="306"/>
    </row>
    <row r="156" spans="1:33" s="261" customFormat="1">
      <c r="A156" s="277">
        <v>2</v>
      </c>
      <c r="B156" s="1552" t="s">
        <v>950</v>
      </c>
      <c r="C156" s="1554">
        <v>0.03</v>
      </c>
      <c r="D156" s="1556" t="s">
        <v>598</v>
      </c>
      <c r="E156" s="2921"/>
      <c r="F156" s="584">
        <f t="shared" ref="F156:F175" si="68">(E112*$C112)+(F112*$C112)-(F134*$C112)</f>
        <v>0</v>
      </c>
      <c r="G156" s="585">
        <f t="shared" si="65"/>
        <v>0</v>
      </c>
      <c r="H156" s="585">
        <f t="shared" si="65"/>
        <v>0</v>
      </c>
      <c r="I156" s="585">
        <f t="shared" si="65"/>
        <v>0</v>
      </c>
      <c r="J156" s="585">
        <f t="shared" si="65"/>
        <v>0</v>
      </c>
      <c r="K156" s="586">
        <f t="shared" si="65"/>
        <v>0</v>
      </c>
      <c r="L156" s="2921"/>
      <c r="M156" s="584">
        <f t="shared" ref="M156:M175" si="69">(L112*$C112)+(M112*$C112)-(M134*$C112)</f>
        <v>0</v>
      </c>
      <c r="N156" s="585">
        <f t="shared" si="66"/>
        <v>0</v>
      </c>
      <c r="O156" s="585">
        <f t="shared" si="66"/>
        <v>0</v>
      </c>
      <c r="P156" s="585">
        <f t="shared" si="66"/>
        <v>0</v>
      </c>
      <c r="Q156" s="585">
        <f t="shared" si="66"/>
        <v>0</v>
      </c>
      <c r="R156" s="586">
        <f t="shared" si="66"/>
        <v>0</v>
      </c>
      <c r="S156" s="2921"/>
      <c r="T156" s="584">
        <f t="shared" ref="T156:T175" si="70">(S112*$C112)+(T112*$C112)-(T134*$C112)</f>
        <v>0</v>
      </c>
      <c r="U156" s="585">
        <f t="shared" si="67"/>
        <v>0</v>
      </c>
      <c r="V156" s="585">
        <f t="shared" si="67"/>
        <v>0</v>
      </c>
      <c r="W156" s="585">
        <f t="shared" si="67"/>
        <v>0</v>
      </c>
      <c r="X156" s="585">
        <f t="shared" si="67"/>
        <v>0</v>
      </c>
      <c r="Y156" s="586">
        <f t="shared" si="67"/>
        <v>0</v>
      </c>
      <c r="Z156" s="2921"/>
      <c r="AA156" s="2983"/>
      <c r="AB156" s="2984"/>
      <c r="AC156" s="2984"/>
      <c r="AD156" s="2984"/>
      <c r="AE156" s="2984"/>
      <c r="AF156" s="2985"/>
      <c r="AG156" s="306"/>
    </row>
    <row r="157" spans="1:33" s="261" customFormat="1">
      <c r="A157" s="277">
        <v>3</v>
      </c>
      <c r="B157" s="1552">
        <v>911301</v>
      </c>
      <c r="C157" s="1553">
        <v>0.1</v>
      </c>
      <c r="D157" s="1556" t="s">
        <v>599</v>
      </c>
      <c r="E157" s="2921"/>
      <c r="F157" s="584">
        <f t="shared" si="68"/>
        <v>0</v>
      </c>
      <c r="G157" s="585">
        <f t="shared" si="65"/>
        <v>0</v>
      </c>
      <c r="H157" s="585">
        <f t="shared" si="65"/>
        <v>0</v>
      </c>
      <c r="I157" s="585">
        <f t="shared" si="65"/>
        <v>0</v>
      </c>
      <c r="J157" s="585">
        <f t="shared" si="65"/>
        <v>0</v>
      </c>
      <c r="K157" s="586">
        <f t="shared" si="65"/>
        <v>0</v>
      </c>
      <c r="L157" s="2921"/>
      <c r="M157" s="584">
        <f t="shared" si="69"/>
        <v>0</v>
      </c>
      <c r="N157" s="585">
        <f t="shared" si="66"/>
        <v>0</v>
      </c>
      <c r="O157" s="585">
        <f t="shared" si="66"/>
        <v>0</v>
      </c>
      <c r="P157" s="585">
        <f t="shared" si="66"/>
        <v>0</v>
      </c>
      <c r="Q157" s="585">
        <f t="shared" si="66"/>
        <v>0</v>
      </c>
      <c r="R157" s="586">
        <f t="shared" si="66"/>
        <v>0</v>
      </c>
      <c r="S157" s="2921"/>
      <c r="T157" s="584">
        <f t="shared" si="70"/>
        <v>0</v>
      </c>
      <c r="U157" s="585">
        <f t="shared" si="67"/>
        <v>0</v>
      </c>
      <c r="V157" s="585">
        <f t="shared" si="67"/>
        <v>0</v>
      </c>
      <c r="W157" s="585">
        <f t="shared" si="67"/>
        <v>0</v>
      </c>
      <c r="X157" s="585">
        <f t="shared" si="67"/>
        <v>0</v>
      </c>
      <c r="Y157" s="586">
        <f t="shared" si="67"/>
        <v>0</v>
      </c>
      <c r="Z157" s="2921"/>
      <c r="AA157" s="2983"/>
      <c r="AB157" s="2984"/>
      <c r="AC157" s="2984"/>
      <c r="AD157" s="2984"/>
      <c r="AE157" s="2984"/>
      <c r="AF157" s="2985"/>
      <c r="AG157" s="306"/>
    </row>
    <row r="158" spans="1:33" s="261" customFormat="1">
      <c r="A158" s="277">
        <v>4</v>
      </c>
      <c r="B158" s="1552">
        <v>911302</v>
      </c>
      <c r="C158" s="1553">
        <v>0.1</v>
      </c>
      <c r="D158" s="1556" t="s">
        <v>600</v>
      </c>
      <c r="E158" s="2921"/>
      <c r="F158" s="584">
        <f t="shared" si="68"/>
        <v>0</v>
      </c>
      <c r="G158" s="585">
        <f t="shared" si="65"/>
        <v>0</v>
      </c>
      <c r="H158" s="585">
        <f t="shared" si="65"/>
        <v>0</v>
      </c>
      <c r="I158" s="585">
        <f t="shared" si="65"/>
        <v>0</v>
      </c>
      <c r="J158" s="585">
        <f t="shared" si="65"/>
        <v>0</v>
      </c>
      <c r="K158" s="586">
        <f t="shared" si="65"/>
        <v>0</v>
      </c>
      <c r="L158" s="2921"/>
      <c r="M158" s="584">
        <f t="shared" si="69"/>
        <v>0</v>
      </c>
      <c r="N158" s="585">
        <f t="shared" si="66"/>
        <v>0</v>
      </c>
      <c r="O158" s="585">
        <f t="shared" si="66"/>
        <v>0</v>
      </c>
      <c r="P158" s="585">
        <f t="shared" si="66"/>
        <v>0</v>
      </c>
      <c r="Q158" s="585">
        <f t="shared" si="66"/>
        <v>0</v>
      </c>
      <c r="R158" s="586">
        <f t="shared" si="66"/>
        <v>0</v>
      </c>
      <c r="S158" s="2921"/>
      <c r="T158" s="584">
        <f t="shared" si="70"/>
        <v>0</v>
      </c>
      <c r="U158" s="585">
        <f t="shared" si="67"/>
        <v>0</v>
      </c>
      <c r="V158" s="585">
        <f t="shared" si="67"/>
        <v>0</v>
      </c>
      <c r="W158" s="585">
        <f t="shared" si="67"/>
        <v>0</v>
      </c>
      <c r="X158" s="585">
        <f t="shared" si="67"/>
        <v>0</v>
      </c>
      <c r="Y158" s="586">
        <f t="shared" si="67"/>
        <v>0</v>
      </c>
      <c r="Z158" s="2921"/>
      <c r="AA158" s="2983"/>
      <c r="AB158" s="2984"/>
      <c r="AC158" s="2984"/>
      <c r="AD158" s="2984"/>
      <c r="AE158" s="2984"/>
      <c r="AF158" s="2985"/>
      <c r="AG158" s="306"/>
    </row>
    <row r="159" spans="1:33" s="261" customFormat="1">
      <c r="A159" s="277">
        <v>5</v>
      </c>
      <c r="B159" s="1552" t="s">
        <v>967</v>
      </c>
      <c r="C159" s="1553">
        <v>0.1</v>
      </c>
      <c r="D159" s="1546" t="s">
        <v>579</v>
      </c>
      <c r="E159" s="2921"/>
      <c r="F159" s="584">
        <f t="shared" si="68"/>
        <v>0</v>
      </c>
      <c r="G159" s="585">
        <f t="shared" si="65"/>
        <v>0</v>
      </c>
      <c r="H159" s="585">
        <f t="shared" si="65"/>
        <v>0</v>
      </c>
      <c r="I159" s="585">
        <f t="shared" si="65"/>
        <v>0</v>
      </c>
      <c r="J159" s="585">
        <f t="shared" si="65"/>
        <v>0</v>
      </c>
      <c r="K159" s="586">
        <f t="shared" si="65"/>
        <v>0</v>
      </c>
      <c r="L159" s="2921"/>
      <c r="M159" s="584">
        <f t="shared" si="69"/>
        <v>0</v>
      </c>
      <c r="N159" s="585">
        <f t="shared" si="66"/>
        <v>0</v>
      </c>
      <c r="O159" s="585">
        <f t="shared" si="66"/>
        <v>0</v>
      </c>
      <c r="P159" s="585">
        <f t="shared" si="66"/>
        <v>0</v>
      </c>
      <c r="Q159" s="585">
        <f t="shared" si="66"/>
        <v>0</v>
      </c>
      <c r="R159" s="586">
        <f t="shared" si="66"/>
        <v>0</v>
      </c>
      <c r="S159" s="2921"/>
      <c r="T159" s="584">
        <f t="shared" si="70"/>
        <v>0</v>
      </c>
      <c r="U159" s="585">
        <f t="shared" si="67"/>
        <v>0</v>
      </c>
      <c r="V159" s="585">
        <f t="shared" si="67"/>
        <v>0</v>
      </c>
      <c r="W159" s="585">
        <f t="shared" si="67"/>
        <v>0</v>
      </c>
      <c r="X159" s="585">
        <f t="shared" si="67"/>
        <v>0</v>
      </c>
      <c r="Y159" s="586">
        <f t="shared" si="67"/>
        <v>0</v>
      </c>
      <c r="Z159" s="2921"/>
      <c r="AA159" s="2983"/>
      <c r="AB159" s="2984"/>
      <c r="AC159" s="2984"/>
      <c r="AD159" s="2984"/>
      <c r="AE159" s="2984"/>
      <c r="AF159" s="2985"/>
      <c r="AG159" s="306"/>
    </row>
    <row r="160" spans="1:33" s="261" customFormat="1">
      <c r="A160" s="277">
        <v>6</v>
      </c>
      <c r="B160" s="1552" t="s">
        <v>968</v>
      </c>
      <c r="C160" s="1553">
        <v>0.1</v>
      </c>
      <c r="D160" s="1546" t="s">
        <v>580</v>
      </c>
      <c r="E160" s="2921"/>
      <c r="F160" s="584">
        <f t="shared" si="68"/>
        <v>0</v>
      </c>
      <c r="G160" s="585">
        <f t="shared" si="65"/>
        <v>0</v>
      </c>
      <c r="H160" s="585">
        <f t="shared" si="65"/>
        <v>0</v>
      </c>
      <c r="I160" s="585">
        <f t="shared" si="65"/>
        <v>0</v>
      </c>
      <c r="J160" s="585">
        <f t="shared" si="65"/>
        <v>0</v>
      </c>
      <c r="K160" s="586">
        <f t="shared" si="65"/>
        <v>0</v>
      </c>
      <c r="L160" s="2921"/>
      <c r="M160" s="584">
        <f t="shared" si="69"/>
        <v>0</v>
      </c>
      <c r="N160" s="585">
        <f t="shared" si="66"/>
        <v>0</v>
      </c>
      <c r="O160" s="585">
        <f t="shared" si="66"/>
        <v>0</v>
      </c>
      <c r="P160" s="585">
        <f t="shared" si="66"/>
        <v>0</v>
      </c>
      <c r="Q160" s="585">
        <f t="shared" si="66"/>
        <v>0</v>
      </c>
      <c r="R160" s="586">
        <f t="shared" si="66"/>
        <v>0</v>
      </c>
      <c r="S160" s="2921"/>
      <c r="T160" s="584">
        <f t="shared" si="70"/>
        <v>0</v>
      </c>
      <c r="U160" s="585">
        <f t="shared" si="67"/>
        <v>0</v>
      </c>
      <c r="V160" s="585">
        <f t="shared" si="67"/>
        <v>0</v>
      </c>
      <c r="W160" s="585">
        <f t="shared" si="67"/>
        <v>0</v>
      </c>
      <c r="X160" s="585">
        <f t="shared" si="67"/>
        <v>0</v>
      </c>
      <c r="Y160" s="586">
        <f t="shared" si="67"/>
        <v>0</v>
      </c>
      <c r="Z160" s="2921"/>
      <c r="AA160" s="2983"/>
      <c r="AB160" s="2984"/>
      <c r="AC160" s="2984"/>
      <c r="AD160" s="2984"/>
      <c r="AE160" s="2984"/>
      <c r="AF160" s="2985"/>
      <c r="AG160" s="306"/>
    </row>
    <row r="161" spans="1:33" s="261" customFormat="1" ht="21.75" customHeight="1">
      <c r="A161" s="277">
        <v>7</v>
      </c>
      <c r="B161" s="1552" t="s">
        <v>959</v>
      </c>
      <c r="C161" s="1553">
        <v>0.1</v>
      </c>
      <c r="D161" s="1546" t="s">
        <v>948</v>
      </c>
      <c r="E161" s="2921"/>
      <c r="F161" s="584">
        <f t="shared" si="68"/>
        <v>0</v>
      </c>
      <c r="G161" s="585">
        <f t="shared" si="65"/>
        <v>0</v>
      </c>
      <c r="H161" s="585">
        <f t="shared" si="65"/>
        <v>0</v>
      </c>
      <c r="I161" s="585">
        <f t="shared" si="65"/>
        <v>0</v>
      </c>
      <c r="J161" s="585">
        <f t="shared" si="65"/>
        <v>0</v>
      </c>
      <c r="K161" s="586">
        <f t="shared" si="65"/>
        <v>0</v>
      </c>
      <c r="L161" s="2921"/>
      <c r="M161" s="584">
        <f t="shared" si="69"/>
        <v>0</v>
      </c>
      <c r="N161" s="585">
        <f t="shared" si="66"/>
        <v>0</v>
      </c>
      <c r="O161" s="585">
        <f t="shared" si="66"/>
        <v>0</v>
      </c>
      <c r="P161" s="585">
        <f t="shared" si="66"/>
        <v>0</v>
      </c>
      <c r="Q161" s="585">
        <f t="shared" si="66"/>
        <v>0</v>
      </c>
      <c r="R161" s="586">
        <f t="shared" si="66"/>
        <v>0</v>
      </c>
      <c r="S161" s="2921"/>
      <c r="T161" s="584">
        <f t="shared" si="70"/>
        <v>0</v>
      </c>
      <c r="U161" s="585">
        <f t="shared" si="67"/>
        <v>0</v>
      </c>
      <c r="V161" s="585">
        <f t="shared" si="67"/>
        <v>0</v>
      </c>
      <c r="W161" s="585">
        <f t="shared" si="67"/>
        <v>0</v>
      </c>
      <c r="X161" s="585">
        <f t="shared" si="67"/>
        <v>0</v>
      </c>
      <c r="Y161" s="586">
        <f t="shared" si="67"/>
        <v>0</v>
      </c>
      <c r="Z161" s="2921"/>
      <c r="AA161" s="2983"/>
      <c r="AB161" s="2984"/>
      <c r="AC161" s="2984"/>
      <c r="AD161" s="2984"/>
      <c r="AE161" s="2984"/>
      <c r="AF161" s="2985"/>
      <c r="AG161" s="306"/>
    </row>
    <row r="162" spans="1:33" s="261" customFormat="1">
      <c r="A162" s="277">
        <v>8</v>
      </c>
      <c r="B162" s="1552" t="s">
        <v>969</v>
      </c>
      <c r="C162" s="1553">
        <v>0.1</v>
      </c>
      <c r="D162" s="1546" t="s">
        <v>966</v>
      </c>
      <c r="E162" s="2921"/>
      <c r="F162" s="584">
        <f t="shared" si="68"/>
        <v>0</v>
      </c>
      <c r="G162" s="585">
        <f t="shared" si="65"/>
        <v>20.5</v>
      </c>
      <c r="H162" s="585">
        <f t="shared" si="65"/>
        <v>20.5</v>
      </c>
      <c r="I162" s="585">
        <f t="shared" si="65"/>
        <v>-17.5</v>
      </c>
      <c r="J162" s="585">
        <f t="shared" si="65"/>
        <v>-38.5</v>
      </c>
      <c r="K162" s="586">
        <f t="shared" si="65"/>
        <v>-38.5</v>
      </c>
      <c r="L162" s="2921"/>
      <c r="M162" s="584">
        <f t="shared" si="69"/>
        <v>0</v>
      </c>
      <c r="N162" s="585">
        <f t="shared" si="66"/>
        <v>0</v>
      </c>
      <c r="O162" s="585">
        <f t="shared" si="66"/>
        <v>0</v>
      </c>
      <c r="P162" s="585">
        <f t="shared" si="66"/>
        <v>0</v>
      </c>
      <c r="Q162" s="585">
        <f t="shared" si="66"/>
        <v>0</v>
      </c>
      <c r="R162" s="586">
        <f t="shared" si="66"/>
        <v>0</v>
      </c>
      <c r="S162" s="2921"/>
      <c r="T162" s="584">
        <f t="shared" si="70"/>
        <v>0</v>
      </c>
      <c r="U162" s="585">
        <f t="shared" si="67"/>
        <v>0</v>
      </c>
      <c r="V162" s="585">
        <f t="shared" si="67"/>
        <v>0</v>
      </c>
      <c r="W162" s="585">
        <f t="shared" si="67"/>
        <v>0</v>
      </c>
      <c r="X162" s="585">
        <f t="shared" si="67"/>
        <v>0</v>
      </c>
      <c r="Y162" s="586">
        <f t="shared" si="67"/>
        <v>0</v>
      </c>
      <c r="Z162" s="2921"/>
      <c r="AA162" s="2983"/>
      <c r="AB162" s="2984"/>
      <c r="AC162" s="2984"/>
      <c r="AD162" s="2984"/>
      <c r="AE162" s="2984"/>
      <c r="AF162" s="2985"/>
      <c r="AG162" s="306"/>
    </row>
    <row r="163" spans="1:33" s="261" customFormat="1">
      <c r="A163" s="606">
        <v>9</v>
      </c>
      <c r="B163" s="1552">
        <v>911306</v>
      </c>
      <c r="C163" s="1553">
        <v>0.1</v>
      </c>
      <c r="D163" s="1556" t="s">
        <v>1471</v>
      </c>
      <c r="E163" s="2921"/>
      <c r="F163" s="584">
        <f t="shared" si="68"/>
        <v>0</v>
      </c>
      <c r="G163" s="585">
        <f t="shared" si="65"/>
        <v>0</v>
      </c>
      <c r="H163" s="585">
        <f t="shared" si="65"/>
        <v>0</v>
      </c>
      <c r="I163" s="585">
        <f t="shared" si="65"/>
        <v>-17</v>
      </c>
      <c r="J163" s="585">
        <f t="shared" si="65"/>
        <v>-22</v>
      </c>
      <c r="K163" s="586">
        <f t="shared" si="65"/>
        <v>-22</v>
      </c>
      <c r="L163" s="2921"/>
      <c r="M163" s="584">
        <f t="shared" si="69"/>
        <v>0</v>
      </c>
      <c r="N163" s="585">
        <f t="shared" si="66"/>
        <v>0</v>
      </c>
      <c r="O163" s="585">
        <f t="shared" si="66"/>
        <v>0</v>
      </c>
      <c r="P163" s="585">
        <f t="shared" si="66"/>
        <v>0</v>
      </c>
      <c r="Q163" s="585">
        <f t="shared" si="66"/>
        <v>0</v>
      </c>
      <c r="R163" s="586">
        <f t="shared" si="66"/>
        <v>0</v>
      </c>
      <c r="S163" s="2921"/>
      <c r="T163" s="584">
        <f t="shared" si="70"/>
        <v>0</v>
      </c>
      <c r="U163" s="585">
        <f t="shared" si="67"/>
        <v>0</v>
      </c>
      <c r="V163" s="585">
        <f t="shared" si="67"/>
        <v>0</v>
      </c>
      <c r="W163" s="585">
        <f t="shared" si="67"/>
        <v>0</v>
      </c>
      <c r="X163" s="585">
        <f t="shared" si="67"/>
        <v>0</v>
      </c>
      <c r="Y163" s="586">
        <f t="shared" si="67"/>
        <v>0</v>
      </c>
      <c r="Z163" s="2921"/>
      <c r="AA163" s="2983"/>
      <c r="AB163" s="2984"/>
      <c r="AC163" s="2984"/>
      <c r="AD163" s="2984"/>
      <c r="AE163" s="2984"/>
      <c r="AF163" s="2985"/>
      <c r="AG163" s="306"/>
    </row>
    <row r="164" spans="1:33" s="261" customFormat="1">
      <c r="A164" s="606">
        <v>10</v>
      </c>
      <c r="B164" s="1552">
        <v>91140101</v>
      </c>
      <c r="C164" s="1557">
        <v>0.1</v>
      </c>
      <c r="D164" s="1558" t="s">
        <v>1442</v>
      </c>
      <c r="E164" s="2921"/>
      <c r="F164" s="584">
        <f t="shared" si="68"/>
        <v>0</v>
      </c>
      <c r="G164" s="585">
        <f t="shared" si="65"/>
        <v>0</v>
      </c>
      <c r="H164" s="585">
        <f t="shared" si="65"/>
        <v>0</v>
      </c>
      <c r="I164" s="585">
        <f t="shared" si="65"/>
        <v>0</v>
      </c>
      <c r="J164" s="585">
        <f t="shared" si="65"/>
        <v>0</v>
      </c>
      <c r="K164" s="586">
        <f t="shared" si="65"/>
        <v>0</v>
      </c>
      <c r="L164" s="2921"/>
      <c r="M164" s="584">
        <f t="shared" si="69"/>
        <v>0</v>
      </c>
      <c r="N164" s="585">
        <f t="shared" si="66"/>
        <v>0</v>
      </c>
      <c r="O164" s="585">
        <f t="shared" si="66"/>
        <v>0</v>
      </c>
      <c r="P164" s="585">
        <f t="shared" si="66"/>
        <v>0</v>
      </c>
      <c r="Q164" s="585">
        <f t="shared" si="66"/>
        <v>0</v>
      </c>
      <c r="R164" s="586">
        <f t="shared" si="66"/>
        <v>0</v>
      </c>
      <c r="S164" s="2921"/>
      <c r="T164" s="584">
        <f t="shared" si="70"/>
        <v>0</v>
      </c>
      <c r="U164" s="585">
        <f t="shared" si="67"/>
        <v>0</v>
      </c>
      <c r="V164" s="585">
        <f t="shared" si="67"/>
        <v>0</v>
      </c>
      <c r="W164" s="585">
        <f t="shared" si="67"/>
        <v>0</v>
      </c>
      <c r="X164" s="585">
        <f t="shared" si="67"/>
        <v>0</v>
      </c>
      <c r="Y164" s="586">
        <f t="shared" si="67"/>
        <v>0</v>
      </c>
      <c r="Z164" s="2921"/>
      <c r="AA164" s="2983"/>
      <c r="AB164" s="2984"/>
      <c r="AC164" s="2984"/>
      <c r="AD164" s="2984"/>
      <c r="AE164" s="2984"/>
      <c r="AF164" s="2985"/>
      <c r="AG164" s="306"/>
    </row>
    <row r="165" spans="1:33" s="261" customFormat="1">
      <c r="A165" s="606">
        <v>11</v>
      </c>
      <c r="B165" s="1552">
        <v>91140102</v>
      </c>
      <c r="C165" s="1557">
        <v>0.04</v>
      </c>
      <c r="D165" s="1558" t="s">
        <v>604</v>
      </c>
      <c r="E165" s="2921"/>
      <c r="F165" s="584">
        <f t="shared" si="68"/>
        <v>0</v>
      </c>
      <c r="G165" s="585">
        <f t="shared" ref="G165:K174" si="71">F165+(G121*$C121)-(G143*$C121)</f>
        <v>0</v>
      </c>
      <c r="H165" s="585">
        <f t="shared" si="71"/>
        <v>0</v>
      </c>
      <c r="I165" s="585">
        <f t="shared" si="71"/>
        <v>0</v>
      </c>
      <c r="J165" s="585">
        <f t="shared" si="71"/>
        <v>0</v>
      </c>
      <c r="K165" s="586">
        <f t="shared" si="71"/>
        <v>0</v>
      </c>
      <c r="L165" s="2921"/>
      <c r="M165" s="584">
        <f t="shared" si="69"/>
        <v>0</v>
      </c>
      <c r="N165" s="585">
        <f t="shared" ref="N165:R174" si="72">M165+(N121*$C121)-(N143*$C121)</f>
        <v>0</v>
      </c>
      <c r="O165" s="585">
        <f t="shared" si="72"/>
        <v>0</v>
      </c>
      <c r="P165" s="585">
        <f t="shared" si="72"/>
        <v>0</v>
      </c>
      <c r="Q165" s="585">
        <f t="shared" si="72"/>
        <v>0</v>
      </c>
      <c r="R165" s="586">
        <f t="shared" si="72"/>
        <v>0</v>
      </c>
      <c r="S165" s="2921"/>
      <c r="T165" s="584">
        <f t="shared" si="70"/>
        <v>0</v>
      </c>
      <c r="U165" s="585">
        <f t="shared" ref="U165:Y174" si="73">T165+(U121*$C121)-(U143*$C121)</f>
        <v>0</v>
      </c>
      <c r="V165" s="585">
        <f t="shared" si="73"/>
        <v>0</v>
      </c>
      <c r="W165" s="585">
        <f t="shared" si="73"/>
        <v>0</v>
      </c>
      <c r="X165" s="585">
        <f t="shared" si="73"/>
        <v>0</v>
      </c>
      <c r="Y165" s="586">
        <f t="shared" si="73"/>
        <v>0</v>
      </c>
      <c r="Z165" s="2921"/>
      <c r="AA165" s="2983"/>
      <c r="AB165" s="2984"/>
      <c r="AC165" s="2984"/>
      <c r="AD165" s="2984"/>
      <c r="AE165" s="2984"/>
      <c r="AF165" s="2985"/>
      <c r="AG165" s="306"/>
    </row>
    <row r="166" spans="1:33" s="261" customFormat="1">
      <c r="A166" s="606">
        <v>12</v>
      </c>
      <c r="B166" s="1552" t="s">
        <v>951</v>
      </c>
      <c r="C166" s="1553">
        <v>0.02</v>
      </c>
      <c r="D166" s="1544" t="s">
        <v>1007</v>
      </c>
      <c r="E166" s="2921"/>
      <c r="F166" s="584">
        <f t="shared" si="68"/>
        <v>0</v>
      </c>
      <c r="G166" s="585">
        <f t="shared" si="71"/>
        <v>0</v>
      </c>
      <c r="H166" s="585">
        <f t="shared" si="71"/>
        <v>0</v>
      </c>
      <c r="I166" s="585">
        <f t="shared" si="71"/>
        <v>0</v>
      </c>
      <c r="J166" s="585">
        <f t="shared" si="71"/>
        <v>0</v>
      </c>
      <c r="K166" s="586">
        <f t="shared" si="71"/>
        <v>0</v>
      </c>
      <c r="L166" s="2921"/>
      <c r="M166" s="584">
        <f t="shared" si="69"/>
        <v>0</v>
      </c>
      <c r="N166" s="585">
        <f t="shared" si="72"/>
        <v>0</v>
      </c>
      <c r="O166" s="585">
        <f t="shared" si="72"/>
        <v>0</v>
      </c>
      <c r="P166" s="585">
        <f t="shared" si="72"/>
        <v>0</v>
      </c>
      <c r="Q166" s="585">
        <f t="shared" si="72"/>
        <v>0</v>
      </c>
      <c r="R166" s="586">
        <f t="shared" si="72"/>
        <v>0</v>
      </c>
      <c r="S166" s="2921"/>
      <c r="T166" s="584">
        <f t="shared" si="70"/>
        <v>0</v>
      </c>
      <c r="U166" s="585">
        <f t="shared" si="73"/>
        <v>0</v>
      </c>
      <c r="V166" s="585">
        <f t="shared" si="73"/>
        <v>0</v>
      </c>
      <c r="W166" s="585">
        <f t="shared" si="73"/>
        <v>0</v>
      </c>
      <c r="X166" s="585">
        <f t="shared" si="73"/>
        <v>0</v>
      </c>
      <c r="Y166" s="586">
        <f t="shared" si="73"/>
        <v>0</v>
      </c>
      <c r="Z166" s="2921"/>
      <c r="AA166" s="2983"/>
      <c r="AB166" s="2984"/>
      <c r="AC166" s="2984"/>
      <c r="AD166" s="2984"/>
      <c r="AE166" s="2984"/>
      <c r="AF166" s="2985"/>
      <c r="AG166" s="306"/>
    </row>
    <row r="167" spans="1:33" s="261" customFormat="1">
      <c r="A167" s="606">
        <v>13</v>
      </c>
      <c r="B167" s="1552" t="s">
        <v>952</v>
      </c>
      <c r="C167" s="1553">
        <v>0.02</v>
      </c>
      <c r="D167" s="1544" t="s">
        <v>1008</v>
      </c>
      <c r="E167" s="2921"/>
      <c r="F167" s="584">
        <f t="shared" si="68"/>
        <v>0</v>
      </c>
      <c r="G167" s="585">
        <f t="shared" si="71"/>
        <v>0</v>
      </c>
      <c r="H167" s="585">
        <f t="shared" si="71"/>
        <v>0</v>
      </c>
      <c r="I167" s="585">
        <f t="shared" si="71"/>
        <v>0</v>
      </c>
      <c r="J167" s="585">
        <f t="shared" si="71"/>
        <v>0</v>
      </c>
      <c r="K167" s="586">
        <f t="shared" si="71"/>
        <v>0</v>
      </c>
      <c r="L167" s="2921"/>
      <c r="M167" s="584">
        <f t="shared" si="69"/>
        <v>0</v>
      </c>
      <c r="N167" s="585">
        <f t="shared" si="72"/>
        <v>0</v>
      </c>
      <c r="O167" s="585">
        <f t="shared" si="72"/>
        <v>0</v>
      </c>
      <c r="P167" s="585">
        <f t="shared" si="72"/>
        <v>0</v>
      </c>
      <c r="Q167" s="585">
        <f t="shared" si="72"/>
        <v>0</v>
      </c>
      <c r="R167" s="586">
        <f t="shared" si="72"/>
        <v>0</v>
      </c>
      <c r="S167" s="2921"/>
      <c r="T167" s="584">
        <f t="shared" si="70"/>
        <v>0</v>
      </c>
      <c r="U167" s="585">
        <f t="shared" si="73"/>
        <v>0</v>
      </c>
      <c r="V167" s="585">
        <f t="shared" si="73"/>
        <v>0</v>
      </c>
      <c r="W167" s="585">
        <f t="shared" si="73"/>
        <v>0</v>
      </c>
      <c r="X167" s="585">
        <f t="shared" si="73"/>
        <v>0</v>
      </c>
      <c r="Y167" s="586">
        <f t="shared" si="73"/>
        <v>0</v>
      </c>
      <c r="Z167" s="2921"/>
      <c r="AA167" s="2983"/>
      <c r="AB167" s="2984"/>
      <c r="AC167" s="2984"/>
      <c r="AD167" s="2984"/>
      <c r="AE167" s="2984"/>
      <c r="AF167" s="2985"/>
      <c r="AG167" s="306"/>
    </row>
    <row r="168" spans="1:33" s="261" customFormat="1">
      <c r="A168" s="606">
        <v>14</v>
      </c>
      <c r="B168" s="1552" t="s">
        <v>953</v>
      </c>
      <c r="C168" s="1553">
        <v>0.02</v>
      </c>
      <c r="D168" s="1544" t="s">
        <v>590</v>
      </c>
      <c r="E168" s="2921"/>
      <c r="F168" s="584">
        <f t="shared" si="68"/>
        <v>0</v>
      </c>
      <c r="G168" s="585">
        <f t="shared" si="71"/>
        <v>0</v>
      </c>
      <c r="H168" s="585">
        <f t="shared" si="71"/>
        <v>0</v>
      </c>
      <c r="I168" s="585">
        <f t="shared" si="71"/>
        <v>0</v>
      </c>
      <c r="J168" s="585">
        <f t="shared" si="71"/>
        <v>0</v>
      </c>
      <c r="K168" s="586">
        <f t="shared" si="71"/>
        <v>0</v>
      </c>
      <c r="L168" s="2921"/>
      <c r="M168" s="584">
        <f t="shared" si="69"/>
        <v>0</v>
      </c>
      <c r="N168" s="585">
        <f t="shared" si="72"/>
        <v>0</v>
      </c>
      <c r="O168" s="585">
        <f t="shared" si="72"/>
        <v>0</v>
      </c>
      <c r="P168" s="585">
        <f t="shared" si="72"/>
        <v>0</v>
      </c>
      <c r="Q168" s="585">
        <f t="shared" si="72"/>
        <v>0</v>
      </c>
      <c r="R168" s="586">
        <f t="shared" si="72"/>
        <v>0</v>
      </c>
      <c r="S168" s="2921"/>
      <c r="T168" s="584">
        <f t="shared" si="70"/>
        <v>0</v>
      </c>
      <c r="U168" s="585">
        <f t="shared" si="73"/>
        <v>0</v>
      </c>
      <c r="V168" s="585">
        <f t="shared" si="73"/>
        <v>0</v>
      </c>
      <c r="W168" s="585">
        <f t="shared" si="73"/>
        <v>0</v>
      </c>
      <c r="X168" s="585">
        <f t="shared" si="73"/>
        <v>0</v>
      </c>
      <c r="Y168" s="586">
        <f t="shared" si="73"/>
        <v>0</v>
      </c>
      <c r="Z168" s="2921"/>
      <c r="AA168" s="2983"/>
      <c r="AB168" s="2984"/>
      <c r="AC168" s="2984"/>
      <c r="AD168" s="2984"/>
      <c r="AE168" s="2984"/>
      <c r="AF168" s="2985"/>
      <c r="AG168" s="306"/>
    </row>
    <row r="169" spans="1:33" s="261" customFormat="1">
      <c r="A169" s="606">
        <v>15</v>
      </c>
      <c r="B169" s="1552" t="s">
        <v>954</v>
      </c>
      <c r="C169" s="1553">
        <v>0.02</v>
      </c>
      <c r="D169" s="1558" t="s">
        <v>591</v>
      </c>
      <c r="E169" s="2921"/>
      <c r="F169" s="584">
        <f t="shared" si="68"/>
        <v>0</v>
      </c>
      <c r="G169" s="585">
        <f t="shared" si="71"/>
        <v>0</v>
      </c>
      <c r="H169" s="585">
        <f t="shared" si="71"/>
        <v>0</v>
      </c>
      <c r="I169" s="585">
        <f t="shared" si="71"/>
        <v>0</v>
      </c>
      <c r="J169" s="585">
        <f t="shared" si="71"/>
        <v>0</v>
      </c>
      <c r="K169" s="586">
        <f t="shared" si="71"/>
        <v>0</v>
      </c>
      <c r="L169" s="2921"/>
      <c r="M169" s="584">
        <f t="shared" si="69"/>
        <v>0</v>
      </c>
      <c r="N169" s="585">
        <f t="shared" si="72"/>
        <v>0</v>
      </c>
      <c r="O169" s="585">
        <f t="shared" si="72"/>
        <v>0</v>
      </c>
      <c r="P169" s="585">
        <f t="shared" si="72"/>
        <v>0</v>
      </c>
      <c r="Q169" s="585">
        <f t="shared" si="72"/>
        <v>0</v>
      </c>
      <c r="R169" s="586">
        <f t="shared" si="72"/>
        <v>0</v>
      </c>
      <c r="S169" s="2921"/>
      <c r="T169" s="584">
        <f t="shared" si="70"/>
        <v>0</v>
      </c>
      <c r="U169" s="585">
        <f t="shared" si="73"/>
        <v>0</v>
      </c>
      <c r="V169" s="585">
        <f t="shared" si="73"/>
        <v>0</v>
      </c>
      <c r="W169" s="585">
        <f t="shared" si="73"/>
        <v>0</v>
      </c>
      <c r="X169" s="585">
        <f t="shared" si="73"/>
        <v>0</v>
      </c>
      <c r="Y169" s="586">
        <f t="shared" si="73"/>
        <v>0</v>
      </c>
      <c r="Z169" s="2921"/>
      <c r="AA169" s="2983"/>
      <c r="AB169" s="2984"/>
      <c r="AC169" s="2984"/>
      <c r="AD169" s="2984"/>
      <c r="AE169" s="2984"/>
      <c r="AF169" s="2985"/>
      <c r="AG169" s="306"/>
    </row>
    <row r="170" spans="1:33" s="261" customFormat="1">
      <c r="A170" s="606">
        <v>16</v>
      </c>
      <c r="B170" s="1552" t="s">
        <v>955</v>
      </c>
      <c r="C170" s="1553">
        <v>0.02</v>
      </c>
      <c r="D170" s="1544" t="s">
        <v>592</v>
      </c>
      <c r="E170" s="2921"/>
      <c r="F170" s="584">
        <f t="shared" si="68"/>
        <v>0</v>
      </c>
      <c r="G170" s="585">
        <f t="shared" si="71"/>
        <v>70.08</v>
      </c>
      <c r="H170" s="585">
        <f t="shared" si="71"/>
        <v>210.2</v>
      </c>
      <c r="I170" s="585">
        <f t="shared" si="71"/>
        <v>439.78</v>
      </c>
      <c r="J170" s="585">
        <f t="shared" si="71"/>
        <v>611.62</v>
      </c>
      <c r="K170" s="586">
        <f t="shared" si="71"/>
        <v>611.62</v>
      </c>
      <c r="L170" s="2921"/>
      <c r="M170" s="584">
        <f t="shared" si="69"/>
        <v>0</v>
      </c>
      <c r="N170" s="585">
        <f t="shared" si="72"/>
        <v>0</v>
      </c>
      <c r="O170" s="585">
        <f t="shared" si="72"/>
        <v>0</v>
      </c>
      <c r="P170" s="585">
        <f t="shared" si="72"/>
        <v>0</v>
      </c>
      <c r="Q170" s="585">
        <f t="shared" si="72"/>
        <v>0</v>
      </c>
      <c r="R170" s="586">
        <f t="shared" si="72"/>
        <v>0</v>
      </c>
      <c r="S170" s="2921"/>
      <c r="T170" s="584">
        <f t="shared" si="70"/>
        <v>0</v>
      </c>
      <c r="U170" s="585">
        <f t="shared" si="73"/>
        <v>0</v>
      </c>
      <c r="V170" s="585">
        <f t="shared" si="73"/>
        <v>0</v>
      </c>
      <c r="W170" s="585">
        <f t="shared" si="73"/>
        <v>0</v>
      </c>
      <c r="X170" s="585">
        <f t="shared" si="73"/>
        <v>0</v>
      </c>
      <c r="Y170" s="586">
        <f t="shared" si="73"/>
        <v>0</v>
      </c>
      <c r="Z170" s="2921"/>
      <c r="AA170" s="2983"/>
      <c r="AB170" s="2984"/>
      <c r="AC170" s="2984"/>
      <c r="AD170" s="2984"/>
      <c r="AE170" s="2984"/>
      <c r="AF170" s="2985"/>
      <c r="AG170" s="306"/>
    </row>
    <row r="171" spans="1:33" s="261" customFormat="1">
      <c r="A171" s="606">
        <v>17</v>
      </c>
      <c r="B171" s="1552" t="s">
        <v>956</v>
      </c>
      <c r="C171" s="1553">
        <v>0.02</v>
      </c>
      <c r="D171" s="1546" t="s">
        <v>593</v>
      </c>
      <c r="E171" s="2921"/>
      <c r="F171" s="584">
        <f t="shared" si="68"/>
        <v>0</v>
      </c>
      <c r="G171" s="585">
        <f t="shared" si="71"/>
        <v>0</v>
      </c>
      <c r="H171" s="585">
        <f t="shared" si="71"/>
        <v>0</v>
      </c>
      <c r="I171" s="585">
        <f t="shared" si="71"/>
        <v>0</v>
      </c>
      <c r="J171" s="585">
        <f t="shared" si="71"/>
        <v>0</v>
      </c>
      <c r="K171" s="586">
        <f t="shared" si="71"/>
        <v>0</v>
      </c>
      <c r="L171" s="2921"/>
      <c r="M171" s="584">
        <f t="shared" si="69"/>
        <v>0</v>
      </c>
      <c r="N171" s="585">
        <f t="shared" si="72"/>
        <v>186.1</v>
      </c>
      <c r="O171" s="585">
        <f t="shared" si="72"/>
        <v>186.1</v>
      </c>
      <c r="P171" s="585">
        <f t="shared" si="72"/>
        <v>268.52</v>
      </c>
      <c r="Q171" s="585">
        <f t="shared" si="72"/>
        <v>1255.3600000000001</v>
      </c>
      <c r="R171" s="586">
        <f t="shared" si="72"/>
        <v>1255.3600000000001</v>
      </c>
      <c r="S171" s="2921"/>
      <c r="T171" s="584">
        <f t="shared" si="70"/>
        <v>0</v>
      </c>
      <c r="U171" s="585">
        <f t="shared" si="73"/>
        <v>0</v>
      </c>
      <c r="V171" s="585">
        <f t="shared" si="73"/>
        <v>0</v>
      </c>
      <c r="W171" s="585">
        <f t="shared" si="73"/>
        <v>0</v>
      </c>
      <c r="X171" s="585">
        <f t="shared" si="73"/>
        <v>0</v>
      </c>
      <c r="Y171" s="586">
        <f t="shared" si="73"/>
        <v>0</v>
      </c>
      <c r="Z171" s="2921"/>
      <c r="AA171" s="2983"/>
      <c r="AB171" s="2984"/>
      <c r="AC171" s="2984"/>
      <c r="AD171" s="2984"/>
      <c r="AE171" s="2984"/>
      <c r="AF171" s="2985"/>
      <c r="AG171" s="306"/>
    </row>
    <row r="172" spans="1:33" s="261" customFormat="1" ht="24">
      <c r="A172" s="606">
        <v>18</v>
      </c>
      <c r="B172" s="1552" t="s">
        <v>957</v>
      </c>
      <c r="C172" s="1553">
        <v>0.04</v>
      </c>
      <c r="D172" s="1546" t="s">
        <v>594</v>
      </c>
      <c r="E172" s="2921"/>
      <c r="F172" s="584">
        <f t="shared" si="68"/>
        <v>0</v>
      </c>
      <c r="G172" s="585">
        <f t="shared" si="71"/>
        <v>0</v>
      </c>
      <c r="H172" s="585">
        <f t="shared" si="71"/>
        <v>0</v>
      </c>
      <c r="I172" s="585">
        <f t="shared" si="71"/>
        <v>0</v>
      </c>
      <c r="J172" s="585">
        <f t="shared" si="71"/>
        <v>0</v>
      </c>
      <c r="K172" s="586">
        <f t="shared" si="71"/>
        <v>0</v>
      </c>
      <c r="L172" s="2921"/>
      <c r="M172" s="584">
        <f t="shared" si="69"/>
        <v>0</v>
      </c>
      <c r="N172" s="585">
        <f t="shared" si="72"/>
        <v>0</v>
      </c>
      <c r="O172" s="585">
        <f t="shared" si="72"/>
        <v>0</v>
      </c>
      <c r="P172" s="585">
        <f t="shared" si="72"/>
        <v>0</v>
      </c>
      <c r="Q172" s="585">
        <f t="shared" si="72"/>
        <v>0</v>
      </c>
      <c r="R172" s="586">
        <f t="shared" si="72"/>
        <v>0</v>
      </c>
      <c r="S172" s="2921"/>
      <c r="T172" s="584">
        <f t="shared" si="70"/>
        <v>0</v>
      </c>
      <c r="U172" s="585">
        <f t="shared" si="73"/>
        <v>105.76</v>
      </c>
      <c r="V172" s="585">
        <f t="shared" si="73"/>
        <v>705.72</v>
      </c>
      <c r="W172" s="585">
        <f t="shared" si="73"/>
        <v>1179.72</v>
      </c>
      <c r="X172" s="585">
        <f t="shared" si="73"/>
        <v>1265.28</v>
      </c>
      <c r="Y172" s="586">
        <f t="shared" si="73"/>
        <v>1265.28</v>
      </c>
      <c r="Z172" s="2921"/>
      <c r="AA172" s="2983"/>
      <c r="AB172" s="2984"/>
      <c r="AC172" s="2984"/>
      <c r="AD172" s="2984"/>
      <c r="AE172" s="2984"/>
      <c r="AF172" s="2985"/>
      <c r="AG172" s="306"/>
    </row>
    <row r="173" spans="1:33" s="261" customFormat="1">
      <c r="A173" s="606">
        <v>19</v>
      </c>
      <c r="B173" s="1552" t="s">
        <v>958</v>
      </c>
      <c r="C173" s="1553">
        <v>0.04</v>
      </c>
      <c r="D173" s="1546" t="s">
        <v>595</v>
      </c>
      <c r="E173" s="2921"/>
      <c r="F173" s="584">
        <f t="shared" si="68"/>
        <v>0</v>
      </c>
      <c r="G173" s="585">
        <f t="shared" si="71"/>
        <v>0</v>
      </c>
      <c r="H173" s="585">
        <f t="shared" si="71"/>
        <v>0</v>
      </c>
      <c r="I173" s="585">
        <f t="shared" si="71"/>
        <v>0</v>
      </c>
      <c r="J173" s="585">
        <f t="shared" si="71"/>
        <v>0</v>
      </c>
      <c r="K173" s="586">
        <f t="shared" si="71"/>
        <v>0</v>
      </c>
      <c r="L173" s="2921"/>
      <c r="M173" s="584">
        <f t="shared" si="69"/>
        <v>0</v>
      </c>
      <c r="N173" s="585">
        <f t="shared" si="72"/>
        <v>0</v>
      </c>
      <c r="O173" s="585">
        <f t="shared" si="72"/>
        <v>0</v>
      </c>
      <c r="P173" s="585">
        <f t="shared" si="72"/>
        <v>0</v>
      </c>
      <c r="Q173" s="585">
        <f t="shared" si="72"/>
        <v>0</v>
      </c>
      <c r="R173" s="586">
        <f t="shared" si="72"/>
        <v>0</v>
      </c>
      <c r="S173" s="2921"/>
      <c r="T173" s="584">
        <f t="shared" si="70"/>
        <v>0</v>
      </c>
      <c r="U173" s="585">
        <f t="shared" si="73"/>
        <v>0</v>
      </c>
      <c r="V173" s="585">
        <f t="shared" si="73"/>
        <v>0</v>
      </c>
      <c r="W173" s="585">
        <f t="shared" si="73"/>
        <v>0</v>
      </c>
      <c r="X173" s="585">
        <f t="shared" si="73"/>
        <v>0</v>
      </c>
      <c r="Y173" s="586">
        <f t="shared" si="73"/>
        <v>0</v>
      </c>
      <c r="Z173" s="2921"/>
      <c r="AA173" s="2983"/>
      <c r="AB173" s="2984"/>
      <c r="AC173" s="2984"/>
      <c r="AD173" s="2984"/>
      <c r="AE173" s="2984"/>
      <c r="AF173" s="2985"/>
      <c r="AG173" s="306"/>
    </row>
    <row r="174" spans="1:33" s="261" customFormat="1">
      <c r="A174" s="606">
        <v>20</v>
      </c>
      <c r="B174" s="1552" t="s">
        <v>970</v>
      </c>
      <c r="C174" s="1553">
        <v>0.04</v>
      </c>
      <c r="D174" s="1556" t="s">
        <v>606</v>
      </c>
      <c r="E174" s="2921"/>
      <c r="F174" s="584">
        <f t="shared" si="68"/>
        <v>0</v>
      </c>
      <c r="G174" s="585">
        <f t="shared" si="71"/>
        <v>0</v>
      </c>
      <c r="H174" s="585">
        <f t="shared" si="71"/>
        <v>0</v>
      </c>
      <c r="I174" s="585">
        <f t="shared" si="71"/>
        <v>0</v>
      </c>
      <c r="J174" s="585">
        <f t="shared" si="71"/>
        <v>0</v>
      </c>
      <c r="K174" s="586">
        <f t="shared" si="71"/>
        <v>0</v>
      </c>
      <c r="L174" s="2921"/>
      <c r="M174" s="584">
        <f t="shared" si="69"/>
        <v>0</v>
      </c>
      <c r="N174" s="585">
        <f t="shared" si="72"/>
        <v>0</v>
      </c>
      <c r="O174" s="585">
        <f t="shared" si="72"/>
        <v>0</v>
      </c>
      <c r="P174" s="585">
        <f t="shared" si="72"/>
        <v>0</v>
      </c>
      <c r="Q174" s="585">
        <f t="shared" si="72"/>
        <v>0</v>
      </c>
      <c r="R174" s="586">
        <f t="shared" si="72"/>
        <v>0</v>
      </c>
      <c r="S174" s="2921"/>
      <c r="T174" s="584">
        <f t="shared" si="70"/>
        <v>0</v>
      </c>
      <c r="U174" s="585">
        <f t="shared" si="73"/>
        <v>0</v>
      </c>
      <c r="V174" s="585">
        <f t="shared" si="73"/>
        <v>0</v>
      </c>
      <c r="W174" s="585">
        <f t="shared" si="73"/>
        <v>0</v>
      </c>
      <c r="X174" s="585">
        <f t="shared" si="73"/>
        <v>0</v>
      </c>
      <c r="Y174" s="586">
        <f t="shared" si="73"/>
        <v>0</v>
      </c>
      <c r="Z174" s="2921"/>
      <c r="AA174" s="2983"/>
      <c r="AB174" s="2984"/>
      <c r="AC174" s="2984"/>
      <c r="AD174" s="2984"/>
      <c r="AE174" s="2984"/>
      <c r="AF174" s="2985"/>
      <c r="AG174" s="306"/>
    </row>
    <row r="175" spans="1:33" s="261" customFormat="1" ht="24.75" thickBot="1">
      <c r="A175" s="1466">
        <v>21</v>
      </c>
      <c r="B175" s="1767" t="s">
        <v>960</v>
      </c>
      <c r="C175" s="2343">
        <v>0.2</v>
      </c>
      <c r="D175" s="1768" t="s">
        <v>911</v>
      </c>
      <c r="E175" s="2924"/>
      <c r="F175" s="599">
        <f t="shared" si="68"/>
        <v>0</v>
      </c>
      <c r="G175" s="600">
        <f t="shared" ref="G175:K175" si="74">F175+(G131*$C131)-(G153*$C131)</f>
        <v>0</v>
      </c>
      <c r="H175" s="600">
        <f t="shared" si="74"/>
        <v>0</v>
      </c>
      <c r="I175" s="600">
        <f t="shared" si="74"/>
        <v>-2</v>
      </c>
      <c r="J175" s="600">
        <f t="shared" si="74"/>
        <v>-76</v>
      </c>
      <c r="K175" s="601">
        <f t="shared" si="74"/>
        <v>-76</v>
      </c>
      <c r="L175" s="2924"/>
      <c r="M175" s="599">
        <f t="shared" si="69"/>
        <v>0</v>
      </c>
      <c r="N175" s="600">
        <f t="shared" ref="N175:R175" si="75">M175+(N131*$C131)-(N153*$C131)</f>
        <v>0</v>
      </c>
      <c r="O175" s="600">
        <f t="shared" si="75"/>
        <v>0</v>
      </c>
      <c r="P175" s="600">
        <f t="shared" si="75"/>
        <v>0</v>
      </c>
      <c r="Q175" s="600">
        <f t="shared" si="75"/>
        <v>0</v>
      </c>
      <c r="R175" s="601">
        <f t="shared" si="75"/>
        <v>0</v>
      </c>
      <c r="S175" s="2924"/>
      <c r="T175" s="599">
        <f t="shared" si="70"/>
        <v>0</v>
      </c>
      <c r="U175" s="600">
        <f t="shared" ref="U175:Y175" si="76">T175+(U131*$C131)-(U153*$C131)</f>
        <v>0</v>
      </c>
      <c r="V175" s="600">
        <f t="shared" si="76"/>
        <v>0</v>
      </c>
      <c r="W175" s="600">
        <f t="shared" si="76"/>
        <v>0</v>
      </c>
      <c r="X175" s="600">
        <f t="shared" si="76"/>
        <v>0</v>
      </c>
      <c r="Y175" s="601">
        <f t="shared" si="76"/>
        <v>0</v>
      </c>
      <c r="Z175" s="2924"/>
      <c r="AA175" s="2986"/>
      <c r="AB175" s="2987"/>
      <c r="AC175" s="2987"/>
      <c r="AD175" s="2987"/>
      <c r="AE175" s="2987"/>
      <c r="AF175" s="2988"/>
      <c r="AG175" s="306"/>
    </row>
    <row r="176" spans="1:33" ht="15.75">
      <c r="A176" s="1532"/>
      <c r="B176" s="529"/>
      <c r="C176" s="529"/>
      <c r="D176" s="529"/>
      <c r="E176" s="529"/>
      <c r="F176" s="529"/>
      <c r="G176" s="529"/>
      <c r="H176" s="529"/>
      <c r="I176" s="529"/>
      <c r="J176" s="529"/>
      <c r="K176" s="529"/>
      <c r="L176" s="529"/>
    </row>
    <row r="177" spans="1:29">
      <c r="A177" s="1746"/>
      <c r="B177" s="336"/>
      <c r="C177" s="336"/>
      <c r="D177" s="336"/>
      <c r="E177" s="337"/>
      <c r="F177" s="337"/>
      <c r="G177" s="337"/>
      <c r="H177" s="337"/>
      <c r="I177" s="337"/>
      <c r="J177" s="337"/>
      <c r="K177" s="337"/>
      <c r="L177" s="337"/>
    </row>
    <row r="178" spans="1:29">
      <c r="A178" s="1746"/>
      <c r="B178" s="336"/>
      <c r="C178" s="336"/>
      <c r="D178" s="336"/>
      <c r="E178" s="337"/>
      <c r="F178" s="337"/>
      <c r="G178" s="337"/>
      <c r="H178" s="337"/>
      <c r="I178" s="337"/>
      <c r="J178" s="337"/>
      <c r="K178" s="337"/>
      <c r="L178" s="337"/>
    </row>
    <row r="179" spans="1:29">
      <c r="C179" s="348" t="str">
        <f>'11. Амортиз. план'!C286</f>
        <v>Дата: 27.08.2018 г.</v>
      </c>
      <c r="J179" s="198"/>
      <c r="K179" s="216"/>
    </row>
    <row r="180" spans="1:29">
      <c r="J180" s="572"/>
      <c r="K180" s="216"/>
    </row>
    <row r="181" spans="1:29">
      <c r="J181" s="572"/>
      <c r="K181" s="216"/>
      <c r="L181" s="571"/>
      <c r="W181" s="349" t="str">
        <f>'11.1.Амортиз.нови активи'!U112</f>
        <v>Главен счетоводител:</v>
      </c>
      <c r="X181" s="338"/>
      <c r="Y181" s="288"/>
      <c r="Z181" s="218" t="str">
        <f>'11.1.Амортиз.нови активи'!X112</f>
        <v>.....................................................</v>
      </c>
      <c r="AA181" s="198"/>
      <c r="AB181" s="216"/>
      <c r="AC181" s="338"/>
    </row>
    <row r="182" spans="1:29">
      <c r="J182" s="572"/>
      <c r="K182" s="216"/>
      <c r="W182" s="258"/>
      <c r="X182" s="287"/>
      <c r="Y182" s="219"/>
      <c r="Z182" s="289"/>
      <c r="AA182" s="1769" t="str">
        <f>'11.1.Амортиз.нови активи'!Y113</f>
        <v>(подпис)</v>
      </c>
      <c r="AB182" s="216"/>
      <c r="AC182" s="338"/>
    </row>
    <row r="183" spans="1:29">
      <c r="J183" s="572"/>
      <c r="K183" s="216"/>
      <c r="W183" s="258"/>
      <c r="X183" s="287"/>
      <c r="Y183" s="219"/>
      <c r="Z183" s="289"/>
      <c r="AA183" s="290"/>
      <c r="AB183" s="216"/>
      <c r="AC183" s="338"/>
    </row>
    <row r="184" spans="1:29">
      <c r="J184" s="572"/>
      <c r="K184" s="216"/>
      <c r="W184" s="258"/>
      <c r="X184" s="287"/>
      <c r="Y184" s="219"/>
      <c r="Z184" s="289"/>
      <c r="AA184" s="290"/>
      <c r="AB184" s="216"/>
      <c r="AC184" s="338"/>
    </row>
    <row r="185" spans="1:29">
      <c r="J185" s="572"/>
      <c r="K185" s="216"/>
      <c r="W185" s="258"/>
      <c r="X185" s="287"/>
      <c r="Y185" s="219"/>
      <c r="Z185" s="289"/>
      <c r="AA185" s="290"/>
      <c r="AB185" s="216"/>
      <c r="AC185" s="338"/>
    </row>
    <row r="186" spans="1:29">
      <c r="A186" s="3581" t="s">
        <v>247</v>
      </c>
      <c r="B186" s="3581"/>
      <c r="C186" s="3581"/>
      <c r="D186" s="3581"/>
      <c r="E186" s="3581"/>
      <c r="K186" s="216"/>
      <c r="L186" s="2942"/>
      <c r="W186" s="260" t="str">
        <f>'11.1.Амортиз.нови активи'!V118</f>
        <v>Управител:</v>
      </c>
      <c r="X186" s="287"/>
      <c r="Y186" s="219"/>
      <c r="Z186" s="289" t="str">
        <f>'11.1.Амортиз.нови активи'!X118</f>
        <v>.....................................................</v>
      </c>
      <c r="AA186" s="290"/>
      <c r="AB186" s="216"/>
      <c r="AC186" s="338"/>
    </row>
    <row r="187" spans="1:29">
      <c r="A187" s="3582" t="s">
        <v>767</v>
      </c>
      <c r="B187" s="3582"/>
      <c r="C187" s="3582"/>
      <c r="D187" s="3582"/>
      <c r="E187" s="3582"/>
      <c r="F187" s="2968"/>
      <c r="G187" s="2968"/>
      <c r="H187" s="2968"/>
      <c r="I187" s="2968"/>
      <c r="J187" s="221"/>
      <c r="K187" s="221"/>
      <c r="L187" s="2968"/>
      <c r="M187" s="2969"/>
      <c r="N187" s="2970"/>
      <c r="W187" s="258"/>
      <c r="X187" s="291"/>
      <c r="Y187" s="258"/>
      <c r="Z187" s="218"/>
      <c r="AA187" s="1770" t="str">
        <f>'11.1.Амортиз.нови активи'!Y119</f>
        <v>(подпис и печат)</v>
      </c>
      <c r="AB187" s="216"/>
      <c r="AC187" s="338"/>
    </row>
    <row r="188" spans="1:29">
      <c r="A188" s="3585" t="s">
        <v>1557</v>
      </c>
      <c r="B188" s="3586"/>
      <c r="C188" s="3586"/>
      <c r="D188" s="3586"/>
      <c r="E188" s="3586"/>
      <c r="F188" s="3587"/>
      <c r="G188" s="3587"/>
      <c r="H188" s="3587"/>
      <c r="I188" s="3587"/>
      <c r="J188" s="3587"/>
      <c r="K188" s="3587"/>
      <c r="L188" s="3587"/>
      <c r="M188" s="3587"/>
      <c r="N188" s="3587"/>
      <c r="W188" s="258"/>
      <c r="X188" s="258"/>
      <c r="Y188" s="216"/>
      <c r="Z188" s="573"/>
      <c r="AA188" s="338"/>
    </row>
    <row r="189" spans="1:29">
      <c r="A189" s="658" t="s">
        <v>1555</v>
      </c>
      <c r="B189" s="2968"/>
      <c r="C189" s="2968"/>
      <c r="D189" s="2968"/>
      <c r="E189" s="2968"/>
      <c r="F189" s="2968"/>
      <c r="G189" s="2968"/>
      <c r="H189" s="2968"/>
      <c r="I189" s="2968"/>
      <c r="J189" s="2968"/>
      <c r="K189" s="2968"/>
      <c r="L189" s="2968"/>
      <c r="M189" s="2969"/>
      <c r="N189" s="2970"/>
    </row>
    <row r="190" spans="1:29" ht="54.75" customHeight="1">
      <c r="A190" s="3557" t="s">
        <v>1531</v>
      </c>
      <c r="B190" s="3557"/>
      <c r="C190" s="3557"/>
      <c r="D190" s="3557"/>
      <c r="E190" s="3557"/>
      <c r="F190" s="3557"/>
      <c r="G190" s="3557"/>
      <c r="H190" s="3557"/>
      <c r="I190" s="3557"/>
      <c r="J190" s="3557"/>
      <c r="K190" s="3557"/>
      <c r="L190" s="3557"/>
      <c r="M190" s="3557"/>
      <c r="N190" s="3557"/>
    </row>
    <row r="191" spans="1:29" ht="14.25" customHeight="1">
      <c r="A191" s="2971" t="s">
        <v>1556</v>
      </c>
      <c r="B191" s="2968"/>
      <c r="C191" s="2968"/>
      <c r="D191" s="2968"/>
      <c r="E191" s="2968"/>
      <c r="F191" s="2968"/>
      <c r="G191" s="2968"/>
      <c r="H191" s="2968"/>
      <c r="I191" s="2968"/>
      <c r="J191" s="2968"/>
      <c r="K191" s="2968"/>
      <c r="L191" s="2968"/>
      <c r="M191" s="2969"/>
      <c r="N191" s="2970"/>
    </row>
    <row r="192" spans="1:29" ht="60.75" customHeight="1"/>
    <row r="193" ht="20.25" customHeight="1"/>
  </sheetData>
  <sheetProtection password="C6DB" sheet="1" objects="1" scenarios="1" formatCells="0" formatColumns="0" formatRows="0"/>
  <mergeCells count="16">
    <mergeCell ref="A2:R2"/>
    <mergeCell ref="A3:R3"/>
    <mergeCell ref="A4:R4"/>
    <mergeCell ref="A5:R5"/>
    <mergeCell ref="A190:N190"/>
    <mergeCell ref="A188:N188"/>
    <mergeCell ref="Z8:AF8"/>
    <mergeCell ref="D8:D9"/>
    <mergeCell ref="A8:A9"/>
    <mergeCell ref="A186:E186"/>
    <mergeCell ref="A187:E187"/>
    <mergeCell ref="E8:K8"/>
    <mergeCell ref="L8:R8"/>
    <mergeCell ref="S8:Y8"/>
    <mergeCell ref="B8:B9"/>
    <mergeCell ref="C8:C9"/>
  </mergeCells>
  <printOptions horizontalCentered="1"/>
  <pageMargins left="0.31496062992125984" right="0.31496062992125984" top="0.74803149606299213" bottom="0.35433070866141736" header="0.31496062992125984" footer="0.31496062992125984"/>
  <pageSetup paperSize="9" scale="44" orientation="landscape" r:id="rId1"/>
  <headerFooter>
    <oddFooter>&amp;A&amp;RPage &amp;P</oddFooter>
  </headerFooter>
  <rowBreaks count="2" manualBreakCount="2">
    <brk id="59" max="16383" man="1"/>
    <brk id="115" max="16383" man="1"/>
  </rowBreaks>
  <colBreaks count="2" manualBreakCount="2">
    <brk id="18" max="1048575" man="1"/>
    <brk id="32" max="1048575" man="1"/>
  </colBreaks>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O493"/>
  <sheetViews>
    <sheetView view="pageBreakPreview" zoomScaleNormal="80" zoomScaleSheetLayoutView="100" workbookViewId="0">
      <pane xSplit="2" ySplit="10" topLeftCell="E53" activePane="bottomRight" state="frozen"/>
      <selection pane="topRight" activeCell="C1" sqref="C1"/>
      <selection pane="bottomLeft" activeCell="A11" sqref="A11"/>
      <selection pane="bottomRight" activeCell="U57" sqref="U57"/>
    </sheetView>
  </sheetViews>
  <sheetFormatPr defaultRowHeight="15"/>
  <cols>
    <col min="1" max="1" width="5.85546875" style="351" customWidth="1"/>
    <col min="2" max="2" width="45.85546875" style="351" customWidth="1"/>
    <col min="3" max="3" width="11.5703125" style="352" customWidth="1"/>
    <col min="4" max="4" width="11.28515625" style="352" customWidth="1"/>
    <col min="5" max="5" width="11.85546875" style="352" customWidth="1"/>
    <col min="6" max="9" width="10.140625" style="352" customWidth="1"/>
    <col min="10" max="10" width="10.85546875" style="352" customWidth="1"/>
    <col min="11" max="16" width="10.140625" style="352" customWidth="1"/>
    <col min="17" max="23" width="11.42578125" style="352" customWidth="1"/>
    <col min="24" max="30" width="8" style="352" customWidth="1"/>
    <col min="31" max="39" width="9.140625" style="351"/>
    <col min="40" max="16384" width="9.140625" style="338"/>
  </cols>
  <sheetData>
    <row r="1" spans="1:41">
      <c r="O1" s="375" t="s">
        <v>249</v>
      </c>
      <c r="AC1" s="374"/>
      <c r="AD1" s="375" t="s">
        <v>249</v>
      </c>
      <c r="AF1" s="297"/>
      <c r="AG1" s="297"/>
      <c r="AH1" s="297"/>
    </row>
    <row r="2" spans="1:41" ht="43.5" customHeight="1">
      <c r="A2" s="3616" t="s">
        <v>1417</v>
      </c>
      <c r="B2" s="3616"/>
      <c r="C2" s="3616"/>
      <c r="D2" s="3616"/>
      <c r="E2" s="3616"/>
      <c r="F2" s="3616"/>
      <c r="G2" s="3616"/>
      <c r="H2" s="3616"/>
      <c r="I2" s="3616"/>
      <c r="J2" s="3616"/>
      <c r="K2" s="3616"/>
      <c r="L2" s="3616"/>
      <c r="M2" s="3616"/>
      <c r="N2" s="3616"/>
      <c r="O2" s="3616"/>
      <c r="P2" s="3616"/>
      <c r="Q2" s="1951"/>
      <c r="R2" s="1951"/>
      <c r="S2" s="1951"/>
      <c r="T2" s="1951"/>
      <c r="U2" s="1951"/>
      <c r="V2" s="1951"/>
      <c r="W2" s="1951"/>
      <c r="X2" s="1951"/>
      <c r="Y2" s="1951"/>
      <c r="Z2" s="1951"/>
      <c r="AA2" s="1951"/>
      <c r="AB2" s="1951"/>
      <c r="AC2" s="1951"/>
      <c r="AD2" s="1951"/>
      <c r="AE2" s="353"/>
      <c r="AF2" s="377"/>
      <c r="AG2" s="297"/>
      <c r="AH2" s="297"/>
      <c r="AI2" s="353"/>
      <c r="AJ2" s="353"/>
      <c r="AK2" s="353"/>
      <c r="AL2" s="353"/>
      <c r="AM2" s="353"/>
    </row>
    <row r="3" spans="1:41" ht="15.75">
      <c r="A3" s="3617" t="str">
        <f>'1. Анкетна карта'!A3:J3</f>
        <v>на "Водоснабдяване и канализация" ЕООД , гр. Благоевград</v>
      </c>
      <c r="B3" s="3617"/>
      <c r="C3" s="3617"/>
      <c r="D3" s="3617"/>
      <c r="E3" s="3617"/>
      <c r="F3" s="3617"/>
      <c r="G3" s="3617"/>
      <c r="H3" s="3617"/>
      <c r="I3" s="3617"/>
      <c r="J3" s="3617"/>
      <c r="K3" s="3617"/>
      <c r="L3" s="3617"/>
      <c r="M3" s="3617"/>
      <c r="N3" s="3617"/>
      <c r="O3" s="3617"/>
      <c r="P3" s="3617"/>
      <c r="Q3" s="1952"/>
      <c r="R3" s="1952"/>
      <c r="S3" s="1952"/>
      <c r="T3" s="1952"/>
      <c r="U3" s="1952"/>
      <c r="V3" s="1952"/>
      <c r="W3" s="1952"/>
      <c r="X3" s="1952"/>
      <c r="Y3" s="1952"/>
      <c r="Z3" s="1952"/>
      <c r="AA3" s="1952"/>
      <c r="AB3" s="1952"/>
      <c r="AC3" s="1952"/>
      <c r="AD3" s="1952"/>
      <c r="AF3" s="377"/>
      <c r="AG3" s="297"/>
      <c r="AH3" s="297"/>
    </row>
    <row r="4" spans="1:41" ht="15.75">
      <c r="A4" s="3617" t="str">
        <f>'1. Анкетна карта'!A4:J4</f>
        <v>ЕИК по БУЛСТАТ: 811047831</v>
      </c>
      <c r="B4" s="3617"/>
      <c r="C4" s="3617"/>
      <c r="D4" s="3617"/>
      <c r="E4" s="3617"/>
      <c r="F4" s="3617"/>
      <c r="G4" s="3617"/>
      <c r="H4" s="3617"/>
      <c r="I4" s="3617"/>
      <c r="J4" s="3617"/>
      <c r="K4" s="3617"/>
      <c r="L4" s="3617"/>
      <c r="M4" s="3617"/>
      <c r="N4" s="3617"/>
      <c r="O4" s="3617"/>
      <c r="P4" s="3617"/>
      <c r="Q4" s="1952"/>
      <c r="R4" s="1952"/>
      <c r="S4" s="1952"/>
      <c r="T4" s="1952"/>
      <c r="U4" s="1952"/>
      <c r="V4" s="1952"/>
      <c r="W4" s="1952"/>
      <c r="X4" s="1952"/>
      <c r="Y4" s="1952"/>
      <c r="Z4" s="1952"/>
      <c r="AA4" s="1952"/>
      <c r="AB4" s="1952"/>
      <c r="AC4" s="1952"/>
      <c r="AD4" s="1952"/>
      <c r="AF4" s="377"/>
      <c r="AG4" s="297"/>
      <c r="AH4" s="297"/>
    </row>
    <row r="5" spans="1:41" ht="15.75">
      <c r="A5" s="613"/>
      <c r="B5" s="613"/>
      <c r="C5" s="613"/>
      <c r="D5" s="613"/>
      <c r="E5" s="613"/>
      <c r="F5" s="613"/>
      <c r="G5" s="613"/>
      <c r="H5" s="613"/>
      <c r="I5" s="613"/>
      <c r="J5" s="613"/>
      <c r="L5" s="609"/>
      <c r="M5" s="609"/>
      <c r="N5" s="609"/>
      <c r="O5" s="609"/>
      <c r="P5" s="609"/>
      <c r="Q5" s="609"/>
      <c r="R5" s="609"/>
      <c r="S5" s="609"/>
      <c r="T5" s="609"/>
      <c r="U5" s="609"/>
      <c r="V5" s="609"/>
      <c r="W5" s="609"/>
      <c r="X5" s="609"/>
      <c r="Y5" s="609"/>
      <c r="Z5" s="609"/>
      <c r="AA5" s="609"/>
      <c r="AB5" s="609"/>
      <c r="AC5" s="609"/>
      <c r="AD5" s="609"/>
      <c r="AE5" s="609"/>
      <c r="AF5" s="609"/>
      <c r="AH5" s="377"/>
      <c r="AI5" s="297"/>
      <c r="AJ5" s="297"/>
      <c r="AN5" s="351"/>
      <c r="AO5" s="351"/>
    </row>
    <row r="6" spans="1:41" ht="30.75" customHeight="1">
      <c r="A6" s="613"/>
      <c r="B6" s="613"/>
      <c r="C6" s="613"/>
      <c r="D6" s="613"/>
      <c r="E6" s="613"/>
      <c r="F6" s="613"/>
      <c r="G6" s="613"/>
      <c r="H6" s="613"/>
      <c r="I6" s="613"/>
      <c r="J6" s="613"/>
      <c r="K6" s="354"/>
      <c r="L6" s="354"/>
      <c r="M6" s="354"/>
      <c r="N6" s="354"/>
      <c r="O6" s="354"/>
      <c r="P6" s="354"/>
      <c r="Q6" s="354"/>
      <c r="R6" s="354"/>
      <c r="S6" s="354"/>
      <c r="T6" s="354"/>
      <c r="U6" s="354"/>
      <c r="V6" s="354"/>
      <c r="W6" s="354"/>
      <c r="X6" s="354"/>
      <c r="Y6" s="354"/>
      <c r="Z6" s="354"/>
      <c r="AA6" s="354"/>
      <c r="AB6" s="354"/>
      <c r="AC6" s="354"/>
      <c r="AD6" s="354"/>
      <c r="AF6" s="377"/>
      <c r="AG6" s="297"/>
      <c r="AH6" s="297"/>
    </row>
    <row r="7" spans="1:41" ht="15.75" customHeight="1" thickBot="1">
      <c r="A7" s="355"/>
      <c r="B7" s="355"/>
      <c r="C7" s="356"/>
      <c r="D7" s="611"/>
      <c r="E7" s="356"/>
      <c r="F7" s="356"/>
      <c r="G7" s="612"/>
      <c r="H7" s="613"/>
      <c r="I7" s="613"/>
      <c r="J7" s="613"/>
      <c r="K7" s="613"/>
      <c r="L7" s="356"/>
      <c r="M7" s="356"/>
      <c r="N7" s="356"/>
      <c r="O7" s="356"/>
      <c r="W7" s="356"/>
      <c r="X7" s="356"/>
      <c r="Y7" s="356"/>
      <c r="Z7" s="356"/>
      <c r="AA7" s="356"/>
      <c r="AB7" s="356"/>
      <c r="AC7" s="376"/>
      <c r="AD7" s="615" t="s">
        <v>250</v>
      </c>
      <c r="AF7" s="377"/>
      <c r="AG7" s="297"/>
      <c r="AH7" s="297"/>
    </row>
    <row r="8" spans="1:41" ht="15" customHeight="1" thickBot="1">
      <c r="A8" s="3597" t="s">
        <v>1</v>
      </c>
      <c r="B8" s="3596" t="s">
        <v>286</v>
      </c>
      <c r="C8" s="3604" t="s">
        <v>287</v>
      </c>
      <c r="D8" s="3605"/>
      <c r="E8" s="3605"/>
      <c r="F8" s="3605"/>
      <c r="G8" s="3605"/>
      <c r="H8" s="3605"/>
      <c r="I8" s="3605"/>
      <c r="J8" s="3605"/>
      <c r="K8" s="3605"/>
      <c r="L8" s="3605"/>
      <c r="M8" s="3605"/>
      <c r="N8" s="3605"/>
      <c r="O8" s="3605"/>
      <c r="P8" s="3605"/>
      <c r="Q8" s="3605"/>
      <c r="R8" s="3605"/>
      <c r="S8" s="3605"/>
      <c r="T8" s="3605"/>
      <c r="U8" s="3605"/>
      <c r="V8" s="3605"/>
      <c r="W8" s="3606"/>
      <c r="X8" s="3604" t="s">
        <v>288</v>
      </c>
      <c r="Y8" s="3605"/>
      <c r="Z8" s="3605"/>
      <c r="AA8" s="3605"/>
      <c r="AB8" s="3605"/>
      <c r="AC8" s="3605"/>
      <c r="AD8" s="3606"/>
      <c r="AF8" s="377"/>
      <c r="AG8" s="297"/>
      <c r="AH8" s="297"/>
    </row>
    <row r="9" spans="1:41" ht="15.75" customHeight="1" thickBot="1">
      <c r="A9" s="3600"/>
      <c r="B9" s="3602"/>
      <c r="C9" s="3610" t="s">
        <v>270</v>
      </c>
      <c r="D9" s="3611"/>
      <c r="E9" s="3611"/>
      <c r="F9" s="3611"/>
      <c r="G9" s="3611"/>
      <c r="H9" s="3611"/>
      <c r="I9" s="3612"/>
      <c r="J9" s="3613" t="s">
        <v>271</v>
      </c>
      <c r="K9" s="3614"/>
      <c r="L9" s="3614"/>
      <c r="M9" s="3614"/>
      <c r="N9" s="3614"/>
      <c r="O9" s="3614"/>
      <c r="P9" s="3615"/>
      <c r="Q9" s="3613" t="s">
        <v>272</v>
      </c>
      <c r="R9" s="3614"/>
      <c r="S9" s="3614"/>
      <c r="T9" s="3614"/>
      <c r="U9" s="3614"/>
      <c r="V9" s="3614"/>
      <c r="W9" s="3615"/>
      <c r="X9" s="3607"/>
      <c r="Y9" s="3608"/>
      <c r="Z9" s="3608"/>
      <c r="AA9" s="3608"/>
      <c r="AB9" s="3608"/>
      <c r="AC9" s="3608"/>
      <c r="AD9" s="3609"/>
      <c r="AF9" s="377"/>
      <c r="AG9" s="297"/>
      <c r="AH9" s="297"/>
    </row>
    <row r="10" spans="1:41" ht="15.75" thickBot="1">
      <c r="A10" s="3601"/>
      <c r="B10" s="3603"/>
      <c r="C10" s="1989" t="str">
        <f>'Приложение '!G12</f>
        <v>2015 г.</v>
      </c>
      <c r="D10" s="1998" t="str">
        <f>'Приложение '!G13</f>
        <v>2016 г.</v>
      </c>
      <c r="E10" s="1184" t="str">
        <f>'Приложение '!G14</f>
        <v>2017 г.</v>
      </c>
      <c r="F10" s="1182" t="str">
        <f>'Приложение '!G15</f>
        <v>2018 г.</v>
      </c>
      <c r="G10" s="1182" t="str">
        <f>'Приложение '!G16</f>
        <v>2019 г.</v>
      </c>
      <c r="H10" s="1182" t="str">
        <f>'Приложение '!G17</f>
        <v>2020 г.</v>
      </c>
      <c r="I10" s="1183" t="str">
        <f>'Приложение '!G18</f>
        <v>2021 г.</v>
      </c>
      <c r="J10" s="1989" t="str">
        <f>C10</f>
        <v>2015 г.</v>
      </c>
      <c r="K10" s="1998" t="str">
        <f t="shared" ref="K10:AD10" si="0">D10</f>
        <v>2016 г.</v>
      </c>
      <c r="L10" s="1184" t="str">
        <f t="shared" ref="L10:R10" si="1">E10</f>
        <v>2017 г.</v>
      </c>
      <c r="M10" s="1184" t="str">
        <f t="shared" si="1"/>
        <v>2018 г.</v>
      </c>
      <c r="N10" s="1184" t="str">
        <f t="shared" si="1"/>
        <v>2019 г.</v>
      </c>
      <c r="O10" s="1184" t="str">
        <f t="shared" si="1"/>
        <v>2020 г.</v>
      </c>
      <c r="P10" s="1185" t="str">
        <f t="shared" si="1"/>
        <v>2021 г.</v>
      </c>
      <c r="Q10" s="2000" t="str">
        <f t="shared" si="1"/>
        <v>2015 г.</v>
      </c>
      <c r="R10" s="1998" t="str">
        <f t="shared" si="1"/>
        <v>2016 г.</v>
      </c>
      <c r="S10" s="1349" t="str">
        <f t="shared" si="0"/>
        <v>2017 г.</v>
      </c>
      <c r="T10" s="1349" t="str">
        <f t="shared" si="0"/>
        <v>2018 г.</v>
      </c>
      <c r="U10" s="1349" t="str">
        <f t="shared" si="0"/>
        <v>2019 г.</v>
      </c>
      <c r="V10" s="1349" t="str">
        <f t="shared" si="0"/>
        <v>2020 г.</v>
      </c>
      <c r="W10" s="1966" t="str">
        <f t="shared" si="0"/>
        <v>2021 г.</v>
      </c>
      <c r="X10" s="1998" t="str">
        <f t="shared" si="0"/>
        <v>2015 г.</v>
      </c>
      <c r="Y10" s="1998" t="str">
        <f t="shared" si="0"/>
        <v>2016 г.</v>
      </c>
      <c r="Z10" s="1349" t="str">
        <f t="shared" si="0"/>
        <v>2017 г.</v>
      </c>
      <c r="AA10" s="1349" t="str">
        <f t="shared" si="0"/>
        <v>2018 г.</v>
      </c>
      <c r="AB10" s="1349" t="str">
        <f t="shared" si="0"/>
        <v>2019 г.</v>
      </c>
      <c r="AC10" s="1349" t="str">
        <f t="shared" si="0"/>
        <v>2020 г.</v>
      </c>
      <c r="AD10" s="1966" t="str">
        <f t="shared" si="0"/>
        <v>2021 г.</v>
      </c>
      <c r="AF10" s="377"/>
      <c r="AG10" s="297"/>
      <c r="AH10" s="297"/>
    </row>
    <row r="11" spans="1:41" ht="15.75" thickBot="1">
      <c r="A11" s="1050" t="s">
        <v>193</v>
      </c>
      <c r="B11" s="1060" t="s">
        <v>289</v>
      </c>
      <c r="C11" s="1990">
        <f>SUM(C12:C27)-C12-C18-C24</f>
        <v>1314</v>
      </c>
      <c r="D11" s="1052">
        <f t="shared" ref="D11:AD11" si="2">SUM(D12:D27)-D12-D18-D24</f>
        <v>1276</v>
      </c>
      <c r="E11" s="1076">
        <f t="shared" si="2"/>
        <v>1380</v>
      </c>
      <c r="F11" s="1077">
        <f t="shared" si="2"/>
        <v>1319.7449999999999</v>
      </c>
      <c r="G11" s="1077">
        <f t="shared" si="2"/>
        <v>1334.316</v>
      </c>
      <c r="H11" s="1077">
        <f t="shared" si="2"/>
        <v>1968.422</v>
      </c>
      <c r="I11" s="1078">
        <f t="shared" si="2"/>
        <v>1872.5830000000001</v>
      </c>
      <c r="J11" s="1990">
        <f t="shared" si="2"/>
        <v>85.271999999999991</v>
      </c>
      <c r="K11" s="1052">
        <f t="shared" si="2"/>
        <v>86.227000000000004</v>
      </c>
      <c r="L11" s="1076">
        <f t="shared" si="2"/>
        <v>85.227000000000004</v>
      </c>
      <c r="M11" s="1077">
        <f t="shared" si="2"/>
        <v>85.227000000000004</v>
      </c>
      <c r="N11" s="1077">
        <f t="shared" si="2"/>
        <v>85.222999999999999</v>
      </c>
      <c r="O11" s="1077">
        <f t="shared" si="2"/>
        <v>106.22300000000001</v>
      </c>
      <c r="P11" s="1078">
        <f t="shared" si="2"/>
        <v>102.22300000000001</v>
      </c>
      <c r="Q11" s="1990">
        <f t="shared" si="2"/>
        <v>384</v>
      </c>
      <c r="R11" s="1052">
        <f t="shared" si="2"/>
        <v>364</v>
      </c>
      <c r="S11" s="1076">
        <f t="shared" si="2"/>
        <v>396</v>
      </c>
      <c r="T11" s="1077">
        <f t="shared" si="2"/>
        <v>418.42</v>
      </c>
      <c r="U11" s="1077">
        <f t="shared" si="2"/>
        <v>687.46</v>
      </c>
      <c r="V11" s="1077">
        <f t="shared" si="2"/>
        <v>742.5</v>
      </c>
      <c r="W11" s="1078">
        <f t="shared" si="2"/>
        <v>730.6</v>
      </c>
      <c r="X11" s="1052">
        <f t="shared" si="2"/>
        <v>143</v>
      </c>
      <c r="Y11" s="1052">
        <f t="shared" si="2"/>
        <v>136</v>
      </c>
      <c r="Z11" s="1076">
        <f t="shared" si="2"/>
        <v>136</v>
      </c>
      <c r="AA11" s="1077">
        <f t="shared" si="2"/>
        <v>136</v>
      </c>
      <c r="AB11" s="1077">
        <f t="shared" si="2"/>
        <v>136</v>
      </c>
      <c r="AC11" s="1077">
        <f t="shared" si="2"/>
        <v>136</v>
      </c>
      <c r="AD11" s="1078">
        <f t="shared" si="2"/>
        <v>136</v>
      </c>
      <c r="AF11" s="377"/>
      <c r="AG11" s="297"/>
      <c r="AH11" s="297"/>
    </row>
    <row r="12" spans="1:41">
      <c r="A12" s="1036" t="s">
        <v>98</v>
      </c>
      <c r="B12" s="1037" t="s">
        <v>290</v>
      </c>
      <c r="C12" s="1991">
        <f>SUM(C13:C16)</f>
        <v>81</v>
      </c>
      <c r="D12" s="1081">
        <f>SUM(D13:D16)</f>
        <v>66</v>
      </c>
      <c r="E12" s="1995">
        <f t="shared" ref="E12:AD12" si="3">SUM(E13:E16)</f>
        <v>81</v>
      </c>
      <c r="F12" s="1082">
        <f t="shared" si="3"/>
        <v>81</v>
      </c>
      <c r="G12" s="1082">
        <f t="shared" si="3"/>
        <v>81</v>
      </c>
      <c r="H12" s="1083">
        <f t="shared" si="3"/>
        <v>92</v>
      </c>
      <c r="I12" s="1084">
        <f t="shared" si="3"/>
        <v>92</v>
      </c>
      <c r="J12" s="1991">
        <f t="shared" si="3"/>
        <v>0</v>
      </c>
      <c r="K12" s="1081">
        <f t="shared" si="3"/>
        <v>0</v>
      </c>
      <c r="L12" s="1085">
        <f t="shared" si="3"/>
        <v>0</v>
      </c>
      <c r="M12" s="1083">
        <f t="shared" si="3"/>
        <v>0</v>
      </c>
      <c r="N12" s="1083">
        <f t="shared" si="3"/>
        <v>0</v>
      </c>
      <c r="O12" s="1083">
        <f t="shared" si="3"/>
        <v>0</v>
      </c>
      <c r="P12" s="1084">
        <f t="shared" si="3"/>
        <v>0</v>
      </c>
      <c r="Q12" s="1991">
        <f t="shared" si="3"/>
        <v>16</v>
      </c>
      <c r="R12" s="1081">
        <f t="shared" si="3"/>
        <v>16</v>
      </c>
      <c r="S12" s="1085">
        <f t="shared" si="3"/>
        <v>16</v>
      </c>
      <c r="T12" s="1083">
        <f t="shared" si="3"/>
        <v>16</v>
      </c>
      <c r="U12" s="1083">
        <f t="shared" si="3"/>
        <v>16</v>
      </c>
      <c r="V12" s="1083">
        <f t="shared" si="3"/>
        <v>16</v>
      </c>
      <c r="W12" s="1084">
        <f t="shared" si="3"/>
        <v>16</v>
      </c>
      <c r="X12" s="1081">
        <f t="shared" si="3"/>
        <v>0</v>
      </c>
      <c r="Y12" s="1081">
        <f t="shared" si="3"/>
        <v>0</v>
      </c>
      <c r="Z12" s="1085">
        <f t="shared" si="3"/>
        <v>0</v>
      </c>
      <c r="AA12" s="1083">
        <f t="shared" si="3"/>
        <v>0</v>
      </c>
      <c r="AB12" s="1083">
        <f t="shared" si="3"/>
        <v>0</v>
      </c>
      <c r="AC12" s="1083">
        <f t="shared" si="3"/>
        <v>0</v>
      </c>
      <c r="AD12" s="1084">
        <f t="shared" si="3"/>
        <v>0</v>
      </c>
      <c r="AF12" s="377"/>
      <c r="AG12" s="297"/>
      <c r="AH12" s="297"/>
    </row>
    <row r="13" spans="1:41" s="359" customFormat="1">
      <c r="A13" s="1086" t="s">
        <v>484</v>
      </c>
      <c r="B13" s="1040" t="s">
        <v>291</v>
      </c>
      <c r="C13" s="2681">
        <f>'12.1.Разходи-увелич.и нам.'!C13</f>
        <v>33</v>
      </c>
      <c r="D13" s="2344">
        <f>'12.1.Разходи-увелич.и нам.'!D13</f>
        <v>33</v>
      </c>
      <c r="E13" s="2345">
        <f>$C13+('12.1.Разходи-увелич.и нам.'!E13+'12.1.Разходи-увелич.и нам.'!F13)</f>
        <v>33</v>
      </c>
      <c r="F13" s="2345">
        <f>$C13+('12.1.Разходи-увелич.и нам.'!G13+'12.1.Разходи-увелич.и нам.'!H13)</f>
        <v>33</v>
      </c>
      <c r="G13" s="2345">
        <f>$C13+('12.1.Разходи-увелич.и нам.'!I13+'12.1.Разходи-увелич.и нам.'!J13)</f>
        <v>33</v>
      </c>
      <c r="H13" s="2345">
        <f>$C13+('12.1.Разходи-увелич.и нам.'!K13+'12.1.Разходи-увелич.и нам.'!L13)</f>
        <v>38</v>
      </c>
      <c r="I13" s="2346">
        <f>$C13+('12.1.Разходи-увелич.и нам.'!M13+'12.1.Разходи-увелич.и нам.'!N13)</f>
        <v>38</v>
      </c>
      <c r="J13" s="2347">
        <f>'12.1.Разходи-увелич.и нам.'!O13</f>
        <v>0</v>
      </c>
      <c r="K13" s="2344">
        <f>'12.1.Разходи-увелич.и нам.'!P13</f>
        <v>0</v>
      </c>
      <c r="L13" s="2345">
        <f>$J13+('12.1.Разходи-увелич.и нам.'!Q13+'12.1.Разходи-увелич.и нам.'!R13)</f>
        <v>0</v>
      </c>
      <c r="M13" s="2345">
        <f>$J13+('12.1.Разходи-увелич.и нам.'!S13+'12.1.Разходи-увелич.и нам.'!T13)</f>
        <v>0</v>
      </c>
      <c r="N13" s="2345">
        <f>$J13+('12.1.Разходи-увелич.и нам.'!U13+'12.1.Разходи-увелич.и нам.'!V13)</f>
        <v>0</v>
      </c>
      <c r="O13" s="2345">
        <f>$J13+('12.1.Разходи-увелич.и нам.'!W13+'12.1.Разходи-увелич.и нам.'!X13)</f>
        <v>0</v>
      </c>
      <c r="P13" s="2346">
        <f>$J13+('12.1.Разходи-увелич.и нам.'!Y13+'12.1.Разходи-увелич.и нам.'!Z13)</f>
        <v>0</v>
      </c>
      <c r="Q13" s="2347">
        <f>'12.1.Разходи-увелич.и нам.'!AA13</f>
        <v>0</v>
      </c>
      <c r="R13" s="2348">
        <f>'12.1.Разходи-увелич.и нам.'!AB13</f>
        <v>0</v>
      </c>
      <c r="S13" s="2345">
        <f>$Q13+('12.1.Разходи-увелич.и нам.'!AC13+'12.1.Разходи-увелич.и нам.'!AD13)</f>
        <v>0</v>
      </c>
      <c r="T13" s="2345">
        <f>$Q13+('12.1.Разходи-увелич.и нам.'!AE13+'12.1.Разходи-увелич.и нам.'!AF13)</f>
        <v>0</v>
      </c>
      <c r="U13" s="2345">
        <f>$Q13+('12.1.Разходи-увелич.и нам.'!AG13+'12.1.Разходи-увелич.и нам.'!AH13)</f>
        <v>0</v>
      </c>
      <c r="V13" s="2345">
        <f>$Q13+('12.1.Разходи-увелич.и нам.'!AI13+'12.1.Разходи-увелич.и нам.'!AJ13)</f>
        <v>0</v>
      </c>
      <c r="W13" s="2346">
        <f>$Q13+('12.1.Разходи-увелич.и нам.'!AK13+'12.1.Разходи-увелич.и нам.'!AL13)</f>
        <v>0</v>
      </c>
      <c r="X13" s="2169"/>
      <c r="Y13" s="2169"/>
      <c r="Z13" s="794"/>
      <c r="AA13" s="781"/>
      <c r="AB13" s="781"/>
      <c r="AC13" s="781"/>
      <c r="AD13" s="790"/>
      <c r="AE13" s="357"/>
      <c r="AF13" s="378"/>
      <c r="AG13" s="358"/>
      <c r="AH13" s="358"/>
      <c r="AI13" s="357"/>
      <c r="AJ13" s="357"/>
      <c r="AK13" s="357"/>
      <c r="AL13" s="357"/>
      <c r="AM13" s="357"/>
    </row>
    <row r="14" spans="1:41" s="359" customFormat="1">
      <c r="A14" s="1086" t="s">
        <v>485</v>
      </c>
      <c r="B14" s="1040" t="s">
        <v>292</v>
      </c>
      <c r="C14" s="2681">
        <f>'12.1.Разходи-увелич.и нам.'!C14</f>
        <v>8</v>
      </c>
      <c r="D14" s="2344">
        <f>'12.1.Разходи-увелич.и нам.'!D14</f>
        <v>8</v>
      </c>
      <c r="E14" s="2345">
        <f>$C14+('12.1.Разходи-увелич.и нам.'!E14+'12.1.Разходи-увелич.и нам.'!F14)</f>
        <v>8</v>
      </c>
      <c r="F14" s="2345">
        <f>$C14+('12.1.Разходи-увелич.и нам.'!G14+'12.1.Разходи-увелич.и нам.'!H14)</f>
        <v>8</v>
      </c>
      <c r="G14" s="2345">
        <f>$C14+('12.1.Разходи-увелич.и нам.'!I14+'12.1.Разходи-увелич.и нам.'!J14)</f>
        <v>8</v>
      </c>
      <c r="H14" s="2345">
        <f>$C14+('12.1.Разходи-увелич.и нам.'!K14+'12.1.Разходи-увелич.и нам.'!L14)</f>
        <v>8</v>
      </c>
      <c r="I14" s="2346">
        <f>$C14+('12.1.Разходи-увелич.и нам.'!M14+'12.1.Разходи-увелич.и нам.'!N14)</f>
        <v>8</v>
      </c>
      <c r="J14" s="2347">
        <f>'12.1.Разходи-увелич.и нам.'!O14</f>
        <v>0</v>
      </c>
      <c r="K14" s="2344">
        <f>'12.1.Разходи-увелич.и нам.'!P14</f>
        <v>0</v>
      </c>
      <c r="L14" s="2345">
        <f>$J14+('12.1.Разходи-увелич.и нам.'!Q14+'12.1.Разходи-увелич.и нам.'!R14)</f>
        <v>0</v>
      </c>
      <c r="M14" s="2345">
        <f>$J14+('12.1.Разходи-увелич.и нам.'!S14+'12.1.Разходи-увелич.и нам.'!T14)</f>
        <v>0</v>
      </c>
      <c r="N14" s="2345">
        <f>$J14+('12.1.Разходи-увелич.и нам.'!U14+'12.1.Разходи-увелич.и нам.'!V14)</f>
        <v>0</v>
      </c>
      <c r="O14" s="2345">
        <f>$J14+('12.1.Разходи-увелич.и нам.'!W14+'12.1.Разходи-увелич.и нам.'!X14)</f>
        <v>0</v>
      </c>
      <c r="P14" s="2346">
        <f>$J14+('12.1.Разходи-увелич.и нам.'!Y14+'12.1.Разходи-увелич.и нам.'!Z14)</f>
        <v>0</v>
      </c>
      <c r="Q14" s="2347">
        <f>'12.1.Разходи-увелич.и нам.'!AA14</f>
        <v>0</v>
      </c>
      <c r="R14" s="2348">
        <f>'12.1.Разходи-увелич.и нам.'!AB14</f>
        <v>0</v>
      </c>
      <c r="S14" s="2345">
        <f>$Q14+('12.1.Разходи-увелич.и нам.'!AC14+'12.1.Разходи-увелич.и нам.'!AD14)</f>
        <v>0</v>
      </c>
      <c r="T14" s="2345">
        <f>$Q14+('12.1.Разходи-увелич.и нам.'!AE14+'12.1.Разходи-увелич.и нам.'!AF14)</f>
        <v>0</v>
      </c>
      <c r="U14" s="2345">
        <f>$Q14+('12.1.Разходи-увелич.и нам.'!AG14+'12.1.Разходи-увелич.и нам.'!AH14)</f>
        <v>0</v>
      </c>
      <c r="V14" s="2345">
        <f>$Q14+('12.1.Разходи-увелич.и нам.'!AI14+'12.1.Разходи-увелич.и нам.'!AJ14)</f>
        <v>0</v>
      </c>
      <c r="W14" s="2346">
        <f>$Q14+('12.1.Разходи-увелич.и нам.'!AK14+'12.1.Разходи-увелич.и нам.'!AL14)</f>
        <v>0</v>
      </c>
      <c r="X14" s="2169"/>
      <c r="Y14" s="2169"/>
      <c r="Z14" s="794"/>
      <c r="AA14" s="781"/>
      <c r="AB14" s="781"/>
      <c r="AC14" s="781"/>
      <c r="AD14" s="790"/>
      <c r="AE14" s="357"/>
      <c r="AF14" s="378"/>
      <c r="AG14" s="358"/>
      <c r="AH14" s="358"/>
      <c r="AI14" s="357"/>
      <c r="AJ14" s="357"/>
      <c r="AK14" s="357"/>
      <c r="AL14" s="357"/>
      <c r="AM14" s="357"/>
    </row>
    <row r="15" spans="1:41" s="359" customFormat="1">
      <c r="A15" s="1086" t="s">
        <v>486</v>
      </c>
      <c r="B15" s="1040" t="s">
        <v>293</v>
      </c>
      <c r="C15" s="2681">
        <f>'12.1.Разходи-увелич.и нам.'!C15</f>
        <v>0</v>
      </c>
      <c r="D15" s="2344">
        <f>'12.1.Разходи-увелич.и нам.'!D15</f>
        <v>0</v>
      </c>
      <c r="E15" s="2345">
        <f>$C15+('12.1.Разходи-увелич.и нам.'!E15+'12.1.Разходи-увелич.и нам.'!F15)</f>
        <v>0</v>
      </c>
      <c r="F15" s="2345">
        <f>$C15+('12.1.Разходи-увелич.и нам.'!G15+'12.1.Разходи-увелич.и нам.'!H15)</f>
        <v>0</v>
      </c>
      <c r="G15" s="2345">
        <f>$C15+('12.1.Разходи-увелич.и нам.'!I15+'12.1.Разходи-увелич.и нам.'!J15)</f>
        <v>0</v>
      </c>
      <c r="H15" s="2345">
        <f>$C15+('12.1.Разходи-увелич.и нам.'!K15+'12.1.Разходи-увелич.и нам.'!L15)</f>
        <v>0</v>
      </c>
      <c r="I15" s="2346">
        <f>$C15+('12.1.Разходи-увелич.и нам.'!M15+'12.1.Разходи-увелич.и нам.'!N15)</f>
        <v>0</v>
      </c>
      <c r="J15" s="2347">
        <f>'12.1.Разходи-увелич.и нам.'!O15</f>
        <v>0</v>
      </c>
      <c r="K15" s="2344">
        <f>'12.1.Разходи-увелич.и нам.'!P15</f>
        <v>0</v>
      </c>
      <c r="L15" s="2345">
        <f>$J15+('12.1.Разходи-увелич.и нам.'!Q15+'12.1.Разходи-увелич.и нам.'!R15)</f>
        <v>0</v>
      </c>
      <c r="M15" s="2345">
        <f>$J15+('12.1.Разходи-увелич.и нам.'!S15+'12.1.Разходи-увелич.и нам.'!T15)</f>
        <v>0</v>
      </c>
      <c r="N15" s="2345">
        <f>$J15+('12.1.Разходи-увелич.и нам.'!U15+'12.1.Разходи-увелич.и нам.'!V15)</f>
        <v>0</v>
      </c>
      <c r="O15" s="2345">
        <f>$J15+('12.1.Разходи-увелич.и нам.'!W15+'12.1.Разходи-увелич.и нам.'!X15)</f>
        <v>0</v>
      </c>
      <c r="P15" s="2346">
        <f>$J15+('12.1.Разходи-увелич.и нам.'!Y15+'12.1.Разходи-увелич.и нам.'!Z15)</f>
        <v>0</v>
      </c>
      <c r="Q15" s="2347">
        <f>'12.1.Разходи-увелич.и нам.'!AA15</f>
        <v>16</v>
      </c>
      <c r="R15" s="2348">
        <f>'12.1.Разходи-увелич.и нам.'!AB15</f>
        <v>16</v>
      </c>
      <c r="S15" s="2345">
        <f>$Q15+('12.1.Разходи-увелич.и нам.'!AC15+'12.1.Разходи-увелич.и нам.'!AD15)</f>
        <v>16</v>
      </c>
      <c r="T15" s="2345">
        <f>$Q15+('12.1.Разходи-увелич.и нам.'!AE15+'12.1.Разходи-увелич.и нам.'!AF15)</f>
        <v>16</v>
      </c>
      <c r="U15" s="2345">
        <f>$Q15+('12.1.Разходи-увелич.и нам.'!AG15+'12.1.Разходи-увелич.и нам.'!AH15)</f>
        <v>16</v>
      </c>
      <c r="V15" s="2345">
        <f>$Q15+('12.1.Разходи-увелич.и нам.'!AI15+'12.1.Разходи-увелич.и нам.'!AJ15)</f>
        <v>16</v>
      </c>
      <c r="W15" s="2346">
        <f>$Q15+('12.1.Разходи-увелич.и нам.'!AK15+'12.1.Разходи-увелич.и нам.'!AL15)</f>
        <v>16</v>
      </c>
      <c r="X15" s="2169"/>
      <c r="Y15" s="2169"/>
      <c r="Z15" s="794"/>
      <c r="AA15" s="781"/>
      <c r="AB15" s="781"/>
      <c r="AC15" s="781"/>
      <c r="AD15" s="790"/>
      <c r="AE15" s="357"/>
      <c r="AF15" s="378"/>
      <c r="AG15" s="358"/>
      <c r="AH15" s="358"/>
      <c r="AI15" s="357"/>
      <c r="AJ15" s="357"/>
      <c r="AK15" s="357"/>
      <c r="AL15" s="357"/>
      <c r="AM15" s="357"/>
    </row>
    <row r="16" spans="1:41" s="359" customFormat="1">
      <c r="A16" s="1086" t="s">
        <v>487</v>
      </c>
      <c r="B16" s="1040" t="s">
        <v>294</v>
      </c>
      <c r="C16" s="2681">
        <f>'12.1.Разходи-увелич.и нам.'!C16</f>
        <v>40</v>
      </c>
      <c r="D16" s="2344">
        <f>'12.1.Разходи-увелич.и нам.'!D16</f>
        <v>25</v>
      </c>
      <c r="E16" s="2345">
        <f>$C16+('12.1.Разходи-увелич.и нам.'!E16+'12.1.Разходи-увелич.и нам.'!F16)</f>
        <v>40</v>
      </c>
      <c r="F16" s="2345">
        <f>$C16+('12.1.Разходи-увелич.и нам.'!G16+'12.1.Разходи-увелич.и нам.'!H16)</f>
        <v>40</v>
      </c>
      <c r="G16" s="2345">
        <f>$C16+('12.1.Разходи-увелич.и нам.'!I16+'12.1.Разходи-увелич.и нам.'!J16)</f>
        <v>40</v>
      </c>
      <c r="H16" s="2345">
        <f>$C16+('12.1.Разходи-увелич.и нам.'!K16+'12.1.Разходи-увелич.и нам.'!L16)</f>
        <v>46</v>
      </c>
      <c r="I16" s="2346">
        <f>$C16+('12.1.Разходи-увелич.и нам.'!M16+'12.1.Разходи-увелич.и нам.'!N16)</f>
        <v>46</v>
      </c>
      <c r="J16" s="2347">
        <f>'12.1.Разходи-увелич.и нам.'!O16</f>
        <v>0</v>
      </c>
      <c r="K16" s="2344">
        <f>'12.1.Разходи-увелич.и нам.'!P16</f>
        <v>0</v>
      </c>
      <c r="L16" s="2345">
        <f>$J16+('12.1.Разходи-увелич.и нам.'!Q16+'12.1.Разходи-увелич.и нам.'!R16)</f>
        <v>0</v>
      </c>
      <c r="M16" s="2345">
        <f>$J16+('12.1.Разходи-увелич.и нам.'!S16+'12.1.Разходи-увелич.и нам.'!T16)</f>
        <v>0</v>
      </c>
      <c r="N16" s="2345">
        <f>$J16+('12.1.Разходи-увелич.и нам.'!U16+'12.1.Разходи-увелич.и нам.'!V16)</f>
        <v>0</v>
      </c>
      <c r="O16" s="2345">
        <f>$J16+('12.1.Разходи-увелич.и нам.'!W16+'12.1.Разходи-увелич.и нам.'!X16)</f>
        <v>0</v>
      </c>
      <c r="P16" s="2346">
        <f>$J16+('12.1.Разходи-увелич.и нам.'!Y16+'12.1.Разходи-увелич.и нам.'!Z16)</f>
        <v>0</v>
      </c>
      <c r="Q16" s="2347">
        <f>'12.1.Разходи-увелич.и нам.'!AA16</f>
        <v>0</v>
      </c>
      <c r="R16" s="2348">
        <f>'12.1.Разходи-увелич.и нам.'!AB16</f>
        <v>0</v>
      </c>
      <c r="S16" s="2345">
        <f>$Q16+('12.1.Разходи-увелич.и нам.'!AC16+'12.1.Разходи-увелич.и нам.'!AD16)</f>
        <v>0</v>
      </c>
      <c r="T16" s="2345">
        <f>$Q16+('12.1.Разходи-увелич.и нам.'!AE16+'12.1.Разходи-увелич.и нам.'!AF16)</f>
        <v>0</v>
      </c>
      <c r="U16" s="2345">
        <f>$Q16+('12.1.Разходи-увелич.и нам.'!AG16+'12.1.Разходи-увелич.и нам.'!AH16)</f>
        <v>0</v>
      </c>
      <c r="V16" s="2345">
        <f>$Q16+('12.1.Разходи-увелич.и нам.'!AI16+'12.1.Разходи-увелич.и нам.'!AJ16)</f>
        <v>0</v>
      </c>
      <c r="W16" s="2346">
        <f>$Q16+('12.1.Разходи-увелич.и нам.'!AK16+'12.1.Разходи-увелич.и нам.'!AL16)</f>
        <v>0</v>
      </c>
      <c r="X16" s="2169"/>
      <c r="Y16" s="2169"/>
      <c r="Z16" s="794"/>
      <c r="AA16" s="781"/>
      <c r="AB16" s="781"/>
      <c r="AC16" s="781"/>
      <c r="AD16" s="790"/>
      <c r="AE16" s="357"/>
      <c r="AF16" s="378"/>
      <c r="AG16" s="358"/>
      <c r="AH16" s="358"/>
      <c r="AI16" s="357"/>
      <c r="AJ16" s="357"/>
      <c r="AK16" s="357"/>
      <c r="AL16" s="357"/>
      <c r="AM16" s="357"/>
    </row>
    <row r="17" spans="1:39" s="293" customFormat="1">
      <c r="A17" s="1036" t="s">
        <v>99</v>
      </c>
      <c r="B17" s="1041" t="s">
        <v>295</v>
      </c>
      <c r="C17" s="2681">
        <f>'12.1.Разходи-увелич.и нам.'!C17</f>
        <v>287</v>
      </c>
      <c r="D17" s="2344">
        <f>'12.1.Разходи-увелич.и нам.'!D17</f>
        <v>295</v>
      </c>
      <c r="E17" s="2345">
        <f>$C17+('12.1.Разходи-увелич.и нам.'!E17+'12.1.Разходи-увелич.и нам.'!F17)</f>
        <v>353</v>
      </c>
      <c r="F17" s="2345">
        <f>$C17+('12.1.Разходи-увелич.и нам.'!G17+'12.1.Разходи-увелич.и нам.'!H17)</f>
        <v>332.245</v>
      </c>
      <c r="G17" s="2345">
        <f>$C17+('12.1.Разходи-увелич.и нам.'!I17+'12.1.Разходи-увелич.и нам.'!J17)</f>
        <v>331.31600000000003</v>
      </c>
      <c r="H17" s="2345">
        <f>$C17+('12.1.Разходи-увелич.и нам.'!K17+'12.1.Разходи-увелич.и нам.'!L17)</f>
        <v>688.42200000000003</v>
      </c>
      <c r="I17" s="2346">
        <f>$C17+('12.1.Разходи-увелич.и нам.'!M17+'12.1.Разходи-увелич.и нам.'!N17)</f>
        <v>646.58300000000008</v>
      </c>
      <c r="J17" s="2347">
        <f>'12.1.Разходи-увелич.и нам.'!O17</f>
        <v>0.27200000000000002</v>
      </c>
      <c r="K17" s="2344">
        <f>'12.1.Разходи-увелич.и нам.'!P17</f>
        <v>0.22700000000000001</v>
      </c>
      <c r="L17" s="2345">
        <f>$J17+('12.1.Разходи-увелич.и нам.'!Q17+'12.1.Разходи-увелич.и нам.'!R17)</f>
        <v>0.22700000000000004</v>
      </c>
      <c r="M17" s="2345">
        <f>$J17+('12.1.Разходи-увелич.и нам.'!S17+'12.1.Разходи-увелич.и нам.'!T17)</f>
        <v>0.22700000000000004</v>
      </c>
      <c r="N17" s="2345">
        <f>$J17+('12.1.Разходи-увелич.и нам.'!U17+'12.1.Разходи-увелич.и нам.'!V17)</f>
        <v>0.22300000000000003</v>
      </c>
      <c r="O17" s="2345">
        <f>$J17+('12.1.Разходи-увелич.и нам.'!W17+'12.1.Разходи-увелич.и нам.'!X17)</f>
        <v>0.22300000000000003</v>
      </c>
      <c r="P17" s="2346">
        <f>$J17+('12.1.Разходи-увелич.и нам.'!Y17+'12.1.Разходи-увелич.и нам.'!Z17)</f>
        <v>0.22300000000000003</v>
      </c>
      <c r="Q17" s="2347">
        <f>'12.1.Разходи-увелич.и нам.'!AA17</f>
        <v>269</v>
      </c>
      <c r="R17" s="2348">
        <f>'12.1.Разходи-увелич.и нам.'!AB17</f>
        <v>254</v>
      </c>
      <c r="S17" s="2345">
        <f>$Q17+('12.1.Разходи-увелич.и нам.'!AC17+'12.1.Разходи-увелич.и нам.'!AD17)</f>
        <v>281</v>
      </c>
      <c r="T17" s="2345">
        <f>$Q17+('12.1.Разходи-увелич.и нам.'!AE17+'12.1.Разходи-увелич.и нам.'!AF17)</f>
        <v>304.42</v>
      </c>
      <c r="U17" s="2345">
        <f>$Q17+('12.1.Разходи-увелич.и нам.'!AG17+'12.1.Разходи-увелич.и нам.'!AH17)</f>
        <v>582.46</v>
      </c>
      <c r="V17" s="2345">
        <f>$Q17+('12.1.Разходи-увелич.и нам.'!AI17+'12.1.Разходи-увелич.и нам.'!AJ17)</f>
        <v>637.5</v>
      </c>
      <c r="W17" s="2346">
        <f>$Q17+('12.1.Разходи-увелич.и нам.'!AK17+'12.1.Разходи-увелич.и нам.'!AL17)</f>
        <v>622.6</v>
      </c>
      <c r="X17" s="2349">
        <f>'6. Ел.Енергия'!J52</f>
        <v>8</v>
      </c>
      <c r="Y17" s="2349">
        <f>'6. Ел.Енергия'!K52</f>
        <v>10</v>
      </c>
      <c r="Z17" s="2765">
        <f>'6. Ел.Енергия'!L52</f>
        <v>10</v>
      </c>
      <c r="AA17" s="2766">
        <f>'6. Ел.Енергия'!M52</f>
        <v>10</v>
      </c>
      <c r="AB17" s="2766">
        <f>'6. Ел.Енергия'!N52</f>
        <v>10</v>
      </c>
      <c r="AC17" s="2766">
        <f>'6. Ел.Енергия'!O52</f>
        <v>10</v>
      </c>
      <c r="AD17" s="2767">
        <f>'6. Ел.Енергия'!P52</f>
        <v>10</v>
      </c>
      <c r="AE17" s="351"/>
      <c r="AF17" s="377"/>
      <c r="AG17" s="297"/>
      <c r="AH17" s="297"/>
      <c r="AI17" s="351"/>
      <c r="AJ17" s="351"/>
      <c r="AK17" s="351"/>
      <c r="AL17" s="351"/>
      <c r="AM17" s="351"/>
    </row>
    <row r="18" spans="1:39">
      <c r="A18" s="1042" t="s">
        <v>101</v>
      </c>
      <c r="B18" s="1043" t="s">
        <v>296</v>
      </c>
      <c r="C18" s="1093">
        <f>SUM(C19:C20)</f>
        <v>336</v>
      </c>
      <c r="D18" s="1087">
        <f>SUM(D19:D20)</f>
        <v>337</v>
      </c>
      <c r="E18" s="1088">
        <f t="shared" ref="E18:AD18" si="4">SUM(E19:E20)</f>
        <v>336</v>
      </c>
      <c r="F18" s="1089">
        <f t="shared" si="4"/>
        <v>336</v>
      </c>
      <c r="G18" s="1089">
        <f t="shared" si="4"/>
        <v>347</v>
      </c>
      <c r="H18" s="1089">
        <f t="shared" si="4"/>
        <v>489</v>
      </c>
      <c r="I18" s="1090">
        <f t="shared" si="4"/>
        <v>489</v>
      </c>
      <c r="J18" s="1093">
        <f t="shared" si="4"/>
        <v>24</v>
      </c>
      <c r="K18" s="1087">
        <f t="shared" si="4"/>
        <v>25</v>
      </c>
      <c r="L18" s="1091">
        <f t="shared" si="4"/>
        <v>24</v>
      </c>
      <c r="M18" s="1089">
        <f t="shared" si="4"/>
        <v>24</v>
      </c>
      <c r="N18" s="1089">
        <f t="shared" si="4"/>
        <v>24</v>
      </c>
      <c r="O18" s="1092">
        <f t="shared" si="4"/>
        <v>39</v>
      </c>
      <c r="P18" s="1090">
        <f t="shared" si="4"/>
        <v>39</v>
      </c>
      <c r="Q18" s="1093">
        <f t="shared" si="4"/>
        <v>11</v>
      </c>
      <c r="R18" s="1087">
        <f t="shared" si="4"/>
        <v>11</v>
      </c>
      <c r="S18" s="1088">
        <f t="shared" si="4"/>
        <v>11</v>
      </c>
      <c r="T18" s="1089">
        <f t="shared" si="4"/>
        <v>11</v>
      </c>
      <c r="U18" s="1089">
        <f t="shared" si="4"/>
        <v>11</v>
      </c>
      <c r="V18" s="1092">
        <f t="shared" si="4"/>
        <v>11</v>
      </c>
      <c r="W18" s="1090">
        <f t="shared" si="4"/>
        <v>11</v>
      </c>
      <c r="X18" s="1087">
        <f t="shared" si="4"/>
        <v>15</v>
      </c>
      <c r="Y18" s="1087">
        <f t="shared" si="4"/>
        <v>15</v>
      </c>
      <c r="Z18" s="1091">
        <f t="shared" si="4"/>
        <v>15</v>
      </c>
      <c r="AA18" s="1089">
        <f t="shared" si="4"/>
        <v>15</v>
      </c>
      <c r="AB18" s="1089">
        <f t="shared" si="4"/>
        <v>15</v>
      </c>
      <c r="AC18" s="1092">
        <f t="shared" si="4"/>
        <v>15</v>
      </c>
      <c r="AD18" s="1090">
        <f t="shared" si="4"/>
        <v>15</v>
      </c>
      <c r="AF18" s="377"/>
      <c r="AG18" s="297"/>
      <c r="AH18" s="297"/>
    </row>
    <row r="19" spans="1:39" s="359" customFormat="1">
      <c r="A19" s="1055" t="s">
        <v>297</v>
      </c>
      <c r="B19" s="1047" t="s">
        <v>298</v>
      </c>
      <c r="C19" s="2681">
        <f>'12.1.Разходи-увелич.и нам.'!C19</f>
        <v>16</v>
      </c>
      <c r="D19" s="2344">
        <f>'12.1.Разходи-увелич.и нам.'!D19</f>
        <v>17</v>
      </c>
      <c r="E19" s="2345">
        <f>$C19+('12.1.Разходи-увелич.и нам.'!E19+'12.1.Разходи-увелич.и нам.'!F19)</f>
        <v>16</v>
      </c>
      <c r="F19" s="2345">
        <f>$C19+('12.1.Разходи-увелич.и нам.'!G19+'12.1.Разходи-увелич.и нам.'!H19)</f>
        <v>16</v>
      </c>
      <c r="G19" s="2345">
        <f>$C19+('12.1.Разходи-увелич.и нам.'!I19+'12.1.Разходи-увелич.и нам.'!J19)</f>
        <v>16</v>
      </c>
      <c r="H19" s="2345">
        <f>$C19+('12.1.Разходи-увелич.и нам.'!K19+'12.1.Разходи-увелич.и нам.'!L19)</f>
        <v>16</v>
      </c>
      <c r="I19" s="2346">
        <f>$C19+('12.1.Разходи-увелич.и нам.'!M19+'12.1.Разходи-увелич.и нам.'!N19)</f>
        <v>16</v>
      </c>
      <c r="J19" s="2347">
        <f>'12.1.Разходи-увелич.и нам.'!O19</f>
        <v>0</v>
      </c>
      <c r="K19" s="2344">
        <f>'12.1.Разходи-увелич.и нам.'!P19</f>
        <v>0</v>
      </c>
      <c r="L19" s="2345">
        <f>$J19+('12.1.Разходи-увелич.и нам.'!Q19+'12.1.Разходи-увелич.и нам.'!R19)</f>
        <v>0</v>
      </c>
      <c r="M19" s="2345">
        <f>$J19+('12.1.Разходи-увелич.и нам.'!S19+'12.1.Разходи-увелич.и нам.'!T19)</f>
        <v>0</v>
      </c>
      <c r="N19" s="2345">
        <f>$J19+('12.1.Разходи-увелич.и нам.'!U19+'12.1.Разходи-увелич.и нам.'!V19)</f>
        <v>0</v>
      </c>
      <c r="O19" s="2345">
        <f>$J19+('12.1.Разходи-увелич.и нам.'!W19+'12.1.Разходи-увелич.и нам.'!X19)</f>
        <v>0</v>
      </c>
      <c r="P19" s="2346">
        <f>$J19+('12.1.Разходи-увелич.и нам.'!Y19+'12.1.Разходи-увелич.и нам.'!Z19)</f>
        <v>0</v>
      </c>
      <c r="Q19" s="2347">
        <f>'12.1.Разходи-увелич.и нам.'!AA19</f>
        <v>0</v>
      </c>
      <c r="R19" s="2348">
        <f>'12.1.Разходи-увелич.и нам.'!AB19</f>
        <v>0</v>
      </c>
      <c r="S19" s="2345">
        <f>$Q19+('12.1.Разходи-увелич.и нам.'!AC19+'12.1.Разходи-увелич.и нам.'!AD19)</f>
        <v>0</v>
      </c>
      <c r="T19" s="2345">
        <f>$Q19+('12.1.Разходи-увелич.и нам.'!AE19+'12.1.Разходи-увелич.и нам.'!AF19)</f>
        <v>0</v>
      </c>
      <c r="U19" s="2345">
        <f>$Q19+('12.1.Разходи-увелич.и нам.'!AG19+'12.1.Разходи-увелич.и нам.'!AH19)</f>
        <v>0</v>
      </c>
      <c r="V19" s="2345">
        <f>$Q19+('12.1.Разходи-увелич.и нам.'!AI19+'12.1.Разходи-увелич.и нам.'!AJ19)</f>
        <v>0</v>
      </c>
      <c r="W19" s="2346">
        <f>$Q19+('12.1.Разходи-увелич.и нам.'!AK19+'12.1.Разходи-увелич.и нам.'!AL19)</f>
        <v>0</v>
      </c>
      <c r="X19" s="2169"/>
      <c r="Y19" s="2169"/>
      <c r="Z19" s="794"/>
      <c r="AA19" s="781"/>
      <c r="AB19" s="781"/>
      <c r="AC19" s="781"/>
      <c r="AD19" s="790"/>
      <c r="AE19" s="357"/>
      <c r="AF19" s="378"/>
      <c r="AG19" s="358"/>
      <c r="AH19" s="358"/>
      <c r="AI19" s="357"/>
      <c r="AJ19" s="357"/>
      <c r="AK19" s="357"/>
      <c r="AL19" s="357"/>
      <c r="AM19" s="357"/>
    </row>
    <row r="20" spans="1:39" s="359" customFormat="1">
      <c r="A20" s="1055" t="s">
        <v>608</v>
      </c>
      <c r="B20" s="1047" t="s">
        <v>299</v>
      </c>
      <c r="C20" s="2681">
        <f>'12.1.Разходи-увелич.и нам.'!C20</f>
        <v>320</v>
      </c>
      <c r="D20" s="2344">
        <f>'12.1.Разходи-увелич.и нам.'!D20</f>
        <v>320</v>
      </c>
      <c r="E20" s="2345">
        <f>$C20+('12.1.Разходи-увелич.и нам.'!E20+'12.1.Разходи-увелич.и нам.'!F20)</f>
        <v>320</v>
      </c>
      <c r="F20" s="2345">
        <f>$C20+('12.1.Разходи-увелич.и нам.'!G20+'12.1.Разходи-увелич.и нам.'!H20)</f>
        <v>320</v>
      </c>
      <c r="G20" s="2345">
        <f>$C20+('12.1.Разходи-увелич.и нам.'!I20+'12.1.Разходи-увелич.и нам.'!J20)</f>
        <v>331</v>
      </c>
      <c r="H20" s="2345">
        <f>$C20+('12.1.Разходи-увелич.и нам.'!K20+'12.1.Разходи-увелич.и нам.'!L20)</f>
        <v>473</v>
      </c>
      <c r="I20" s="2346">
        <f>$C20+('12.1.Разходи-увелич.и нам.'!M20+'12.1.Разходи-увелич.и нам.'!N20)</f>
        <v>473</v>
      </c>
      <c r="J20" s="2347">
        <f>'12.1.Разходи-увелич.и нам.'!O20</f>
        <v>24</v>
      </c>
      <c r="K20" s="2344">
        <f>'12.1.Разходи-увелич.и нам.'!P20</f>
        <v>25</v>
      </c>
      <c r="L20" s="2345">
        <f>$J20+('12.1.Разходи-увелич.и нам.'!Q20+'12.1.Разходи-увелич.и нам.'!R20)</f>
        <v>24</v>
      </c>
      <c r="M20" s="2345">
        <f>$J20+('12.1.Разходи-увелич.и нам.'!S20+'12.1.Разходи-увелич.и нам.'!T20)</f>
        <v>24</v>
      </c>
      <c r="N20" s="2345">
        <f>$J20+('12.1.Разходи-увелич.и нам.'!U20+'12.1.Разходи-увелич.и нам.'!V20)</f>
        <v>24</v>
      </c>
      <c r="O20" s="2345">
        <f>$J20+('12.1.Разходи-увелич.и нам.'!W20+'12.1.Разходи-увелич.и нам.'!X20)</f>
        <v>39</v>
      </c>
      <c r="P20" s="2346">
        <f>$J20+('12.1.Разходи-увелич.и нам.'!Y20+'12.1.Разходи-увелич.и нам.'!Z20)</f>
        <v>39</v>
      </c>
      <c r="Q20" s="2347">
        <f>'12.1.Разходи-увелич.и нам.'!AA20</f>
        <v>11</v>
      </c>
      <c r="R20" s="2348">
        <f>'12.1.Разходи-увелич.и нам.'!AB20</f>
        <v>11</v>
      </c>
      <c r="S20" s="2345">
        <f>$Q20+('12.1.Разходи-увелич.и нам.'!AC20+'12.1.Разходи-увелич.и нам.'!AD20)</f>
        <v>11</v>
      </c>
      <c r="T20" s="2345">
        <f>$Q20+('12.1.Разходи-увелич.и нам.'!AE20+'12.1.Разходи-увелич.и нам.'!AF20)</f>
        <v>11</v>
      </c>
      <c r="U20" s="2345">
        <f>$Q20+('12.1.Разходи-увелич.и нам.'!AG20+'12.1.Разходи-увелич.и нам.'!AH20)</f>
        <v>11</v>
      </c>
      <c r="V20" s="2345">
        <f>$Q20+('12.1.Разходи-увелич.и нам.'!AI20+'12.1.Разходи-увелич.и нам.'!AJ20)</f>
        <v>11</v>
      </c>
      <c r="W20" s="2346">
        <f>$Q20+('12.1.Разходи-увелич.и нам.'!AK20+'12.1.Разходи-увелич.и нам.'!AL20)</f>
        <v>11</v>
      </c>
      <c r="X20" s="2169">
        <v>15</v>
      </c>
      <c r="Y20" s="2169">
        <v>15</v>
      </c>
      <c r="Z20" s="794">
        <v>15</v>
      </c>
      <c r="AA20" s="781">
        <v>15</v>
      </c>
      <c r="AB20" s="781">
        <v>15</v>
      </c>
      <c r="AC20" s="781">
        <v>15</v>
      </c>
      <c r="AD20" s="790">
        <v>15</v>
      </c>
      <c r="AE20" s="357"/>
      <c r="AF20" s="378"/>
      <c r="AG20" s="358"/>
      <c r="AH20" s="358"/>
      <c r="AI20" s="357"/>
      <c r="AJ20" s="357"/>
      <c r="AK20" s="357"/>
      <c r="AL20" s="357"/>
      <c r="AM20" s="357"/>
    </row>
    <row r="21" spans="1:39">
      <c r="A21" s="1042" t="s">
        <v>197</v>
      </c>
      <c r="B21" s="1043" t="s">
        <v>300</v>
      </c>
      <c r="C21" s="2347">
        <f>'12.1.Разходи-увелич.и нам.'!C21</f>
        <v>42</v>
      </c>
      <c r="D21" s="2349">
        <f>'12.1.Разходи-увелич.и нам.'!D21</f>
        <v>40</v>
      </c>
      <c r="E21" s="2350">
        <f>$C21+('12.1.Разходи-увелич.и нам.'!E21+'12.1.Разходи-увелич.и нам.'!F21)</f>
        <v>42</v>
      </c>
      <c r="F21" s="2350">
        <f>$C21+('12.1.Разходи-увелич.и нам.'!G21+'12.1.Разходи-увелич.и нам.'!H21)</f>
        <v>42</v>
      </c>
      <c r="G21" s="2350">
        <f>$C21+('12.1.Разходи-увелич.и нам.'!I21+'12.1.Разходи-увелич.и нам.'!J21)</f>
        <v>42</v>
      </c>
      <c r="H21" s="2350">
        <f>$C21+('12.1.Разходи-увелич.и нам.'!K21+'12.1.Разходи-увелич.и нам.'!L21)</f>
        <v>59</v>
      </c>
      <c r="I21" s="1449">
        <f>$C21+('12.1.Разходи-увелич.и нам.'!M21+'12.1.Разходи-увелич.и нам.'!N21)</f>
        <v>59</v>
      </c>
      <c r="J21" s="2347">
        <f>'12.1.Разходи-увелич.и нам.'!O21</f>
        <v>6</v>
      </c>
      <c r="K21" s="2344">
        <f>'12.1.Разходи-увелич.и нам.'!P21</f>
        <v>6</v>
      </c>
      <c r="L21" s="2345">
        <f>$J21+('12.1.Разходи-увелич.и нам.'!Q21+'12.1.Разходи-увелич.и нам.'!R21)</f>
        <v>6</v>
      </c>
      <c r="M21" s="2345">
        <f>$J21+('12.1.Разходи-увелич.и нам.'!S21+'12.1.Разходи-увелич.и нам.'!T21)</f>
        <v>6</v>
      </c>
      <c r="N21" s="2345">
        <f>$J21+('12.1.Разходи-увелич.и нам.'!U21+'12.1.Разходи-увелич.и нам.'!V21)</f>
        <v>6</v>
      </c>
      <c r="O21" s="2345">
        <f>$J21+('12.1.Разходи-увелич.и нам.'!W21+'12.1.Разходи-увелич.и нам.'!X21)</f>
        <v>8</v>
      </c>
      <c r="P21" s="2346">
        <f>$J21+('12.1.Разходи-увелич.и нам.'!Y21+'12.1.Разходи-увелич.и нам.'!Z21)</f>
        <v>8</v>
      </c>
      <c r="Q21" s="2347">
        <f>'12.1.Разходи-увелич.и нам.'!AA21</f>
        <v>7</v>
      </c>
      <c r="R21" s="2348">
        <f>'12.1.Разходи-увелич.и нам.'!AB21</f>
        <v>7</v>
      </c>
      <c r="S21" s="2345">
        <f>$Q21+('12.1.Разходи-увелич.и нам.'!AC21+'12.1.Разходи-увелич.и нам.'!AD21)</f>
        <v>7</v>
      </c>
      <c r="T21" s="2345">
        <f>$Q21+('12.1.Разходи-увелич.и нам.'!AE21+'12.1.Разходи-увелич.и нам.'!AF21)</f>
        <v>7</v>
      </c>
      <c r="U21" s="2345">
        <f>$Q21+('12.1.Разходи-увелич.и нам.'!AG21+'12.1.Разходи-увелич.и нам.'!AH21)</f>
        <v>7</v>
      </c>
      <c r="V21" s="2345">
        <f>$Q21+('12.1.Разходи-увелич.и нам.'!AI21+'12.1.Разходи-увелич.и нам.'!AJ21)</f>
        <v>7</v>
      </c>
      <c r="W21" s="2346">
        <f>$Q21+('12.1.Разходи-увелич.и нам.'!AK21+'12.1.Разходи-увелич.и нам.'!AL21)</f>
        <v>7</v>
      </c>
      <c r="X21" s="2169"/>
      <c r="Y21" s="2169"/>
      <c r="Z21" s="794"/>
      <c r="AA21" s="781"/>
      <c r="AB21" s="781"/>
      <c r="AC21" s="781"/>
      <c r="AD21" s="790"/>
      <c r="AE21" s="360"/>
      <c r="AF21" s="377"/>
      <c r="AG21" s="297"/>
      <c r="AH21" s="297"/>
      <c r="AI21" s="360"/>
      <c r="AJ21" s="360"/>
      <c r="AK21" s="360"/>
      <c r="AL21" s="360"/>
      <c r="AM21" s="360"/>
    </row>
    <row r="22" spans="1:39">
      <c r="A22" s="1042" t="s">
        <v>199</v>
      </c>
      <c r="B22" s="1043" t="s">
        <v>301</v>
      </c>
      <c r="C22" s="2347">
        <f>'12.1.Разходи-увелич.и нам.'!C22</f>
        <v>19</v>
      </c>
      <c r="D22" s="2349">
        <f>'12.1.Разходи-увелич.и нам.'!D22</f>
        <v>15</v>
      </c>
      <c r="E22" s="2350">
        <f>$C22+('12.1.Разходи-увелич.и нам.'!E22+'12.1.Разходи-увелич.и нам.'!F22)</f>
        <v>19</v>
      </c>
      <c r="F22" s="2350">
        <f>$C22+('12.1.Разходи-увелич.и нам.'!G22+'12.1.Разходи-увелич.и нам.'!H22)</f>
        <v>19</v>
      </c>
      <c r="G22" s="2350">
        <f>$C22+('12.1.Разходи-увелич.и нам.'!I22+'12.1.Разходи-увелич.и нам.'!J22)</f>
        <v>19</v>
      </c>
      <c r="H22" s="2350">
        <f>$C22+('12.1.Разходи-увелич.и нам.'!K22+'12.1.Разходи-увелич.и нам.'!L22)</f>
        <v>26</v>
      </c>
      <c r="I22" s="1449">
        <f>$C22+('12.1.Разходи-увелич.и нам.'!M22+'12.1.Разходи-увелич.и нам.'!N22)</f>
        <v>26</v>
      </c>
      <c r="J22" s="2347">
        <f>'12.1.Разходи-увелич.и нам.'!O22</f>
        <v>4</v>
      </c>
      <c r="K22" s="2344">
        <f>'12.1.Разходи-увелич.и нам.'!P22</f>
        <v>4</v>
      </c>
      <c r="L22" s="2345">
        <f>$J22+('12.1.Разходи-увелич.и нам.'!Q22+'12.1.Разходи-увелич.и нам.'!R22)</f>
        <v>4</v>
      </c>
      <c r="M22" s="2345">
        <f>$J22+('12.1.Разходи-увелич.и нам.'!S22+'12.1.Разходи-увелич.и нам.'!T22)</f>
        <v>4</v>
      </c>
      <c r="N22" s="2345">
        <f>$J22+('12.1.Разходи-увелич.и нам.'!U22+'12.1.Разходи-увелич.и нам.'!V22)</f>
        <v>4</v>
      </c>
      <c r="O22" s="2345">
        <f>$J22+('12.1.Разходи-увелич.и нам.'!W22+'12.1.Разходи-увелич.и нам.'!X22)</f>
        <v>4</v>
      </c>
      <c r="P22" s="2346">
        <f>$J22+('12.1.Разходи-увелич.и нам.'!Y22+'12.1.Разходи-увелич.и нам.'!Z22)</f>
        <v>4</v>
      </c>
      <c r="Q22" s="2347">
        <f>'12.1.Разходи-увелич.и нам.'!AA22</f>
        <v>5</v>
      </c>
      <c r="R22" s="2348">
        <f>'12.1.Разходи-увелич.и нам.'!AB22</f>
        <v>5</v>
      </c>
      <c r="S22" s="2345">
        <f>$Q22+('12.1.Разходи-увелич.и нам.'!AC22+'12.1.Разходи-увелич.и нам.'!AD22)</f>
        <v>5</v>
      </c>
      <c r="T22" s="2345">
        <f>$Q22+('12.1.Разходи-увелич.и нам.'!AE22+'12.1.Разходи-увелич.и нам.'!AF22)</f>
        <v>5</v>
      </c>
      <c r="U22" s="2345">
        <f>$Q22+('12.1.Разходи-увелич.и нам.'!AG22+'12.1.Разходи-увелич.и нам.'!AH22)</f>
        <v>5</v>
      </c>
      <c r="V22" s="2345">
        <f>$Q22+('12.1.Разходи-увелич.и нам.'!AI22+'12.1.Разходи-увелич.и нам.'!AJ22)</f>
        <v>5</v>
      </c>
      <c r="W22" s="2346">
        <f>$Q22+('12.1.Разходи-увелич.и нам.'!AK22+'12.1.Разходи-увелич.и нам.'!AL22)</f>
        <v>5</v>
      </c>
      <c r="X22" s="2169">
        <v>1</v>
      </c>
      <c r="Y22" s="2169">
        <v>1</v>
      </c>
      <c r="Z22" s="794">
        <v>1</v>
      </c>
      <c r="AA22" s="781">
        <v>1</v>
      </c>
      <c r="AB22" s="781">
        <v>1</v>
      </c>
      <c r="AC22" s="781">
        <v>1</v>
      </c>
      <c r="AD22" s="790">
        <v>1</v>
      </c>
      <c r="AE22" s="360"/>
      <c r="AF22" s="377"/>
      <c r="AG22" s="297"/>
      <c r="AH22" s="297"/>
      <c r="AI22" s="360"/>
      <c r="AJ22" s="360"/>
      <c r="AK22" s="360"/>
      <c r="AL22" s="360"/>
      <c r="AM22" s="360"/>
    </row>
    <row r="23" spans="1:39">
      <c r="A23" s="1042" t="s">
        <v>201</v>
      </c>
      <c r="B23" s="1043" t="s">
        <v>860</v>
      </c>
      <c r="C23" s="2347">
        <f>'12.1.Разходи-увелич.и нам.'!C23</f>
        <v>455</v>
      </c>
      <c r="D23" s="2349">
        <f>'12.1.Разходи-увелич.и нам.'!D23</f>
        <v>460</v>
      </c>
      <c r="E23" s="2350">
        <f>$C23+('12.1.Разходи-увелич.и нам.'!E23+'12.1.Разходи-увелич.и нам.'!F23)</f>
        <v>455</v>
      </c>
      <c r="F23" s="2350">
        <f>$C23+('12.1.Разходи-увелич.и нам.'!G23+'12.1.Разходи-увелич.и нам.'!H23)</f>
        <v>415.5</v>
      </c>
      <c r="G23" s="2350">
        <f>$C23+('12.1.Разходи-увелич.и нам.'!I23+'12.1.Разходи-увелич.и нам.'!J23)</f>
        <v>404</v>
      </c>
      <c r="H23" s="2350">
        <f>$C23+('12.1.Разходи-увелич.и нам.'!K23+'12.1.Разходи-увелич.и нам.'!L23)</f>
        <v>468</v>
      </c>
      <c r="I23" s="1449">
        <f>$C23+('12.1.Разходи-увелич.и нам.'!M23+'12.1.Разходи-увелич.и нам.'!N23)</f>
        <v>414</v>
      </c>
      <c r="J23" s="2347">
        <f>'12.1.Разходи-увелич.и нам.'!O23</f>
        <v>44</v>
      </c>
      <c r="K23" s="2344">
        <f>'12.1.Разходи-увелич.и нам.'!P23</f>
        <v>44</v>
      </c>
      <c r="L23" s="2345">
        <f>$J23+('12.1.Разходи-увелич.и нам.'!Q23+'12.1.Разходи-увелич.и нам.'!R23)</f>
        <v>44</v>
      </c>
      <c r="M23" s="2345">
        <f>$J23+('12.1.Разходи-увелич.и нам.'!S23+'12.1.Разходи-увелич.и нам.'!T23)</f>
        <v>44</v>
      </c>
      <c r="N23" s="2345">
        <f>$J23+('12.1.Разходи-увелич.и нам.'!U23+'12.1.Разходи-увелич.и нам.'!V23)</f>
        <v>44</v>
      </c>
      <c r="O23" s="2345">
        <f>$J23+('12.1.Разходи-увелич.и нам.'!W23+'12.1.Разходи-увелич.и нам.'!X23)</f>
        <v>45</v>
      </c>
      <c r="P23" s="2346">
        <f>$J23+('12.1.Разходи-увелич.и нам.'!Y23+'12.1.Разходи-увелич.и нам.'!Z23)</f>
        <v>41</v>
      </c>
      <c r="Q23" s="2347">
        <f>'12.1.Разходи-увелич.и нам.'!AA23</f>
        <v>61</v>
      </c>
      <c r="R23" s="2348">
        <f>'12.1.Разходи-увелич.и нам.'!AB23</f>
        <v>61</v>
      </c>
      <c r="S23" s="2345">
        <f>$Q23+('12.1.Разходи-увелич.и нам.'!AC23+'12.1.Разходи-увелич.и нам.'!AD23)</f>
        <v>61</v>
      </c>
      <c r="T23" s="2345">
        <f>$Q23+('12.1.Разходи-увелич.и нам.'!AE23+'12.1.Разходи-увелич.и нам.'!AF23)</f>
        <v>60</v>
      </c>
      <c r="U23" s="2345">
        <f>$Q23+('12.1.Разходи-увелич.и нам.'!AG23+'12.1.Разходи-увелич.и нам.'!AH23)</f>
        <v>51</v>
      </c>
      <c r="V23" s="2345">
        <f>$Q23+('12.1.Разходи-увелич.и нам.'!AI23+'12.1.Разходи-увелич.и нам.'!AJ23)</f>
        <v>51</v>
      </c>
      <c r="W23" s="2346">
        <f>$Q23+('12.1.Разходи-увелич.и нам.'!AK23+'12.1.Разходи-увелич.и нам.'!AL23)</f>
        <v>54</v>
      </c>
      <c r="X23" s="2169"/>
      <c r="Y23" s="2169"/>
      <c r="Z23" s="794"/>
      <c r="AA23" s="781"/>
      <c r="AB23" s="781"/>
      <c r="AC23" s="781"/>
      <c r="AD23" s="790"/>
      <c r="AE23" s="360"/>
      <c r="AF23" s="377"/>
      <c r="AG23" s="297"/>
      <c r="AH23" s="297"/>
      <c r="AI23" s="360"/>
      <c r="AJ23" s="360"/>
      <c r="AK23" s="360"/>
      <c r="AL23" s="360"/>
      <c r="AM23" s="360"/>
    </row>
    <row r="24" spans="1:39">
      <c r="A24" s="1042" t="s">
        <v>203</v>
      </c>
      <c r="B24" s="1043" t="s">
        <v>609</v>
      </c>
      <c r="C24" s="1093">
        <f>SUM(C25:C27)</f>
        <v>94</v>
      </c>
      <c r="D24" s="1087">
        <f t="shared" ref="D24:AD24" si="5">SUM(D25:D27)</f>
        <v>63</v>
      </c>
      <c r="E24" s="1088">
        <f t="shared" si="5"/>
        <v>94</v>
      </c>
      <c r="F24" s="1089">
        <f t="shared" si="5"/>
        <v>94</v>
      </c>
      <c r="G24" s="1089">
        <f t="shared" si="5"/>
        <v>110</v>
      </c>
      <c r="H24" s="1089">
        <f t="shared" si="5"/>
        <v>146</v>
      </c>
      <c r="I24" s="1090">
        <f t="shared" si="5"/>
        <v>146</v>
      </c>
      <c r="J24" s="1093">
        <f t="shared" si="5"/>
        <v>7</v>
      </c>
      <c r="K24" s="1087">
        <f t="shared" si="5"/>
        <v>7</v>
      </c>
      <c r="L24" s="1088">
        <f t="shared" si="5"/>
        <v>7</v>
      </c>
      <c r="M24" s="1089">
        <f t="shared" si="5"/>
        <v>7</v>
      </c>
      <c r="N24" s="1089">
        <f t="shared" si="5"/>
        <v>7</v>
      </c>
      <c r="O24" s="1089">
        <f t="shared" si="5"/>
        <v>10</v>
      </c>
      <c r="P24" s="1090">
        <f t="shared" si="5"/>
        <v>10</v>
      </c>
      <c r="Q24" s="1093">
        <f t="shared" si="5"/>
        <v>15</v>
      </c>
      <c r="R24" s="1087">
        <f t="shared" si="5"/>
        <v>10</v>
      </c>
      <c r="S24" s="1088">
        <f t="shared" si="5"/>
        <v>15</v>
      </c>
      <c r="T24" s="1089">
        <f t="shared" si="5"/>
        <v>15</v>
      </c>
      <c r="U24" s="1089">
        <f t="shared" si="5"/>
        <v>15</v>
      </c>
      <c r="V24" s="1089">
        <f t="shared" si="5"/>
        <v>15</v>
      </c>
      <c r="W24" s="1090">
        <f t="shared" si="5"/>
        <v>15</v>
      </c>
      <c r="X24" s="1087">
        <f t="shared" si="5"/>
        <v>119</v>
      </c>
      <c r="Y24" s="1087">
        <f t="shared" si="5"/>
        <v>110</v>
      </c>
      <c r="Z24" s="1088">
        <f t="shared" si="5"/>
        <v>110</v>
      </c>
      <c r="AA24" s="1089">
        <f t="shared" si="5"/>
        <v>110</v>
      </c>
      <c r="AB24" s="1089">
        <f t="shared" si="5"/>
        <v>110</v>
      </c>
      <c r="AC24" s="1089">
        <f t="shared" si="5"/>
        <v>110</v>
      </c>
      <c r="AD24" s="1090">
        <f t="shared" si="5"/>
        <v>110</v>
      </c>
      <c r="AE24" s="360"/>
      <c r="AF24" s="377"/>
      <c r="AG24" s="297"/>
      <c r="AH24" s="297"/>
      <c r="AI24" s="360"/>
      <c r="AJ24" s="360"/>
      <c r="AK24" s="360"/>
      <c r="AL24" s="360"/>
      <c r="AM24" s="360"/>
    </row>
    <row r="25" spans="1:39">
      <c r="A25" s="1042" t="s">
        <v>610</v>
      </c>
      <c r="B25" s="781"/>
      <c r="C25" s="2681">
        <f>'12.1.Разходи-увелич.и нам.'!C25</f>
        <v>39</v>
      </c>
      <c r="D25" s="2344">
        <f>'12.1.Разходи-увелич.и нам.'!D25</f>
        <v>63</v>
      </c>
      <c r="E25" s="2345">
        <f>$C25+('12.1.Разходи-увелич.и нам.'!E25+'12.1.Разходи-увелич.и нам.'!F25)</f>
        <v>39</v>
      </c>
      <c r="F25" s="2345">
        <f>$C25+('12.1.Разходи-увелич.и нам.'!G25+'12.1.Разходи-увелич.и нам.'!H25)</f>
        <v>39</v>
      </c>
      <c r="G25" s="2345">
        <f>$C25+('12.1.Разходи-увелич.и нам.'!I25+'12.1.Разходи-увелич.и нам.'!J25)</f>
        <v>55</v>
      </c>
      <c r="H25" s="2345">
        <f>$C25+('12.1.Разходи-увелич.и нам.'!K25+'12.1.Разходи-увелич.и нам.'!L25)</f>
        <v>88</v>
      </c>
      <c r="I25" s="2346">
        <f>$C25+('12.1.Разходи-увелич.и нам.'!M25+'12.1.Разходи-увелич.и нам.'!N25)</f>
        <v>88</v>
      </c>
      <c r="J25" s="2347">
        <f>'12.1.Разходи-увелич.и нам.'!O25</f>
        <v>3</v>
      </c>
      <c r="K25" s="2344">
        <f>'12.1.Разходи-увелич.и нам.'!P25</f>
        <v>7</v>
      </c>
      <c r="L25" s="2345">
        <f>$J25+('12.1.Разходи-увелич.и нам.'!Q25+'12.1.Разходи-увелич.и нам.'!R25)</f>
        <v>3</v>
      </c>
      <c r="M25" s="2345">
        <f>$J25+('12.1.Разходи-увелич.и нам.'!S25+'12.1.Разходи-увелич.и нам.'!T25)</f>
        <v>3</v>
      </c>
      <c r="N25" s="2345">
        <f>$J25+('12.1.Разходи-увелич.и нам.'!U25+'12.1.Разходи-увелич.и нам.'!V25)</f>
        <v>3</v>
      </c>
      <c r="O25" s="2345">
        <f>$J25+('12.1.Разходи-увелич.и нам.'!W25+'12.1.Разходи-увелич.и нам.'!X25)</f>
        <v>5</v>
      </c>
      <c r="P25" s="2346">
        <f>$J25+('12.1.Разходи-увелич.и нам.'!Y25+'12.1.Разходи-увелич.и нам.'!Z25)</f>
        <v>5</v>
      </c>
      <c r="Q25" s="2347">
        <f>'12.1.Разходи-увелич.и нам.'!AA25</f>
        <v>15</v>
      </c>
      <c r="R25" s="2348">
        <f>'12.1.Разходи-увелич.и нам.'!AB25</f>
        <v>10</v>
      </c>
      <c r="S25" s="2345">
        <f>$Q25+('12.1.Разходи-увелич.и нам.'!AC25+'12.1.Разходи-увелич.и нам.'!AD25)</f>
        <v>15</v>
      </c>
      <c r="T25" s="2345">
        <f>$Q25+('12.1.Разходи-увелич.и нам.'!AE25+'12.1.Разходи-увелич.и нам.'!AF25)</f>
        <v>15</v>
      </c>
      <c r="U25" s="2345">
        <f>$Q25+('12.1.Разходи-увелич.и нам.'!AG25+'12.1.Разходи-увелич.и нам.'!AH25)</f>
        <v>15</v>
      </c>
      <c r="V25" s="2345">
        <f>$Q25+('12.1.Разходи-увелич.и нам.'!AI25+'12.1.Разходи-увелич.и нам.'!AJ25)</f>
        <v>15</v>
      </c>
      <c r="W25" s="2346">
        <f>$Q25+('12.1.Разходи-увелич.и нам.'!AK25+'12.1.Разходи-увелич.и нам.'!AL25)</f>
        <v>15</v>
      </c>
      <c r="X25" s="2169">
        <v>119</v>
      </c>
      <c r="Y25" s="2169">
        <v>110</v>
      </c>
      <c r="Z25" s="794">
        <v>110</v>
      </c>
      <c r="AA25" s="781">
        <v>110</v>
      </c>
      <c r="AB25" s="781">
        <v>110</v>
      </c>
      <c r="AC25" s="781">
        <v>110</v>
      </c>
      <c r="AD25" s="790">
        <v>110</v>
      </c>
      <c r="AE25" s="361"/>
      <c r="AF25" s="377"/>
      <c r="AG25" s="297"/>
      <c r="AH25" s="297"/>
      <c r="AI25" s="361"/>
      <c r="AJ25" s="361"/>
      <c r="AK25" s="361"/>
      <c r="AL25" s="361"/>
      <c r="AM25" s="361"/>
    </row>
    <row r="26" spans="1:39">
      <c r="A26" s="1049" t="s">
        <v>611</v>
      </c>
      <c r="B26" s="781"/>
      <c r="C26" s="2681">
        <f>'12.1.Разходи-увелич.и нам.'!C26</f>
        <v>55</v>
      </c>
      <c r="D26" s="2344">
        <f>'12.1.Разходи-увелич.и нам.'!D26</f>
        <v>0</v>
      </c>
      <c r="E26" s="2345">
        <f>$C26+('12.1.Разходи-увелич.и нам.'!E26+'12.1.Разходи-увелич.и нам.'!F26)</f>
        <v>55</v>
      </c>
      <c r="F26" s="2345">
        <f>$C26+('12.1.Разходи-увелич.и нам.'!G26+'12.1.Разходи-увелич.и нам.'!H26)</f>
        <v>55</v>
      </c>
      <c r="G26" s="2345">
        <f>$C26+('12.1.Разходи-увелич.и нам.'!I26+'12.1.Разходи-увелич.и нам.'!J26)</f>
        <v>55</v>
      </c>
      <c r="H26" s="2345">
        <f>$C26+('12.1.Разходи-увелич.и нам.'!K26+'12.1.Разходи-увелич.и нам.'!L26)</f>
        <v>58</v>
      </c>
      <c r="I26" s="2346">
        <f>$C26+('12.1.Разходи-увелич.и нам.'!M26+'12.1.Разходи-увелич.и нам.'!N26)</f>
        <v>58</v>
      </c>
      <c r="J26" s="2347">
        <f>'12.1.Разходи-увелич.и нам.'!O26</f>
        <v>4</v>
      </c>
      <c r="K26" s="2344">
        <f>'12.1.Разходи-увелич.и нам.'!P26</f>
        <v>0</v>
      </c>
      <c r="L26" s="2345">
        <f>$J26+('12.1.Разходи-увелич.и нам.'!Q26+'12.1.Разходи-увелич.и нам.'!R26)</f>
        <v>4</v>
      </c>
      <c r="M26" s="2345">
        <f>$J26+('12.1.Разходи-увелич.и нам.'!S26+'12.1.Разходи-увелич.и нам.'!T26)</f>
        <v>4</v>
      </c>
      <c r="N26" s="2345">
        <f>$J26+('12.1.Разходи-увелич.и нам.'!U26+'12.1.Разходи-увелич.и нам.'!V26)</f>
        <v>4</v>
      </c>
      <c r="O26" s="2345">
        <f>$J26+('12.1.Разходи-увелич.и нам.'!W26+'12.1.Разходи-увелич.и нам.'!X26)</f>
        <v>5</v>
      </c>
      <c r="P26" s="2346">
        <f>$J26+('12.1.Разходи-увелич.и нам.'!Y26+'12.1.Разходи-увелич.и нам.'!Z26)</f>
        <v>5</v>
      </c>
      <c r="Q26" s="2347">
        <f>'12.1.Разходи-увелич.и нам.'!AA26</f>
        <v>0</v>
      </c>
      <c r="R26" s="2348">
        <f>'12.1.Разходи-увелич.и нам.'!AB26</f>
        <v>0</v>
      </c>
      <c r="S26" s="2345">
        <f>$Q26+('12.1.Разходи-увелич.и нам.'!AC26+'12.1.Разходи-увелич.и нам.'!AD26)</f>
        <v>0</v>
      </c>
      <c r="T26" s="2345">
        <f>$Q26+('12.1.Разходи-увелич.и нам.'!AE26+'12.1.Разходи-увелич.и нам.'!AF26)</f>
        <v>0</v>
      </c>
      <c r="U26" s="2345">
        <f>$Q26+('12.1.Разходи-увелич.и нам.'!AG26+'12.1.Разходи-увелич.и нам.'!AH26)</f>
        <v>0</v>
      </c>
      <c r="V26" s="2345">
        <f>$Q26+('12.1.Разходи-увелич.и нам.'!AI26+'12.1.Разходи-увелич.и нам.'!AJ26)</f>
        <v>0</v>
      </c>
      <c r="W26" s="2346">
        <f>$Q26+('12.1.Разходи-увелич.и нам.'!AK26+'12.1.Разходи-увелич.и нам.'!AL26)</f>
        <v>0</v>
      </c>
      <c r="X26" s="2169"/>
      <c r="Y26" s="2169"/>
      <c r="Z26" s="794"/>
      <c r="AA26" s="781"/>
      <c r="AB26" s="781"/>
      <c r="AC26" s="781"/>
      <c r="AD26" s="790"/>
      <c r="AE26" s="361"/>
      <c r="AF26" s="377"/>
      <c r="AG26" s="297"/>
      <c r="AH26" s="297"/>
      <c r="AI26" s="361"/>
      <c r="AJ26" s="361"/>
      <c r="AK26" s="361"/>
      <c r="AL26" s="361"/>
      <c r="AM26" s="361"/>
    </row>
    <row r="27" spans="1:39" ht="15.75" thickBot="1">
      <c r="A27" s="1049" t="s">
        <v>612</v>
      </c>
      <c r="B27" s="781"/>
      <c r="C27" s="2681">
        <f>'12.1.Разходи-увелич.и нам.'!C27</f>
        <v>0</v>
      </c>
      <c r="D27" s="2344">
        <f>'12.1.Разходи-увелич.и нам.'!D27</f>
        <v>0</v>
      </c>
      <c r="E27" s="2345">
        <f>$C27+('12.1.Разходи-увелич.и нам.'!E27+'12.1.Разходи-увелич.и нам.'!F27)</f>
        <v>0</v>
      </c>
      <c r="F27" s="2345">
        <f>$C27+('12.1.Разходи-увелич.и нам.'!G27+'12.1.Разходи-увелич.и нам.'!H27)</f>
        <v>0</v>
      </c>
      <c r="G27" s="2345">
        <f>$C27+('12.1.Разходи-увелич.и нам.'!I27+'12.1.Разходи-увелич.и нам.'!J27)</f>
        <v>0</v>
      </c>
      <c r="H27" s="2345">
        <f>$C27+('12.1.Разходи-увелич.и нам.'!K27+'12.1.Разходи-увелич.и нам.'!L27)</f>
        <v>0</v>
      </c>
      <c r="I27" s="2346">
        <f>$C27+('12.1.Разходи-увелич.и нам.'!M27+'12.1.Разходи-увелич.и нам.'!N27)</f>
        <v>0</v>
      </c>
      <c r="J27" s="2347">
        <f>'12.1.Разходи-увелич.и нам.'!O27</f>
        <v>0</v>
      </c>
      <c r="K27" s="2344">
        <f>'12.1.Разходи-увелич.и нам.'!P27</f>
        <v>0</v>
      </c>
      <c r="L27" s="2345">
        <f>$J27+('12.1.Разходи-увелич.и нам.'!Q27+'12.1.Разходи-увелич.и нам.'!R27)</f>
        <v>0</v>
      </c>
      <c r="M27" s="2345">
        <f>$J27+('12.1.Разходи-увелич.и нам.'!S27+'12.1.Разходи-увелич.и нам.'!T27)</f>
        <v>0</v>
      </c>
      <c r="N27" s="2345">
        <f>$J27+('12.1.Разходи-увелич.и нам.'!U27+'12.1.Разходи-увелич.и нам.'!V27)</f>
        <v>0</v>
      </c>
      <c r="O27" s="2345">
        <f>$J27+('12.1.Разходи-увелич.и нам.'!W27+'12.1.Разходи-увелич.и нам.'!X27)</f>
        <v>0</v>
      </c>
      <c r="P27" s="2346">
        <f>$J27+('12.1.Разходи-увелич.и нам.'!Y27+'12.1.Разходи-увелич.и нам.'!Z27)</f>
        <v>0</v>
      </c>
      <c r="Q27" s="2347">
        <f>'12.1.Разходи-увелич.и нам.'!AA27</f>
        <v>0</v>
      </c>
      <c r="R27" s="2348">
        <f>'12.1.Разходи-увелич.и нам.'!AB27</f>
        <v>0</v>
      </c>
      <c r="S27" s="2345">
        <f>$Q27+('12.1.Разходи-увелич.и нам.'!AC27+'12.1.Разходи-увелич.и нам.'!AD27)</f>
        <v>0</v>
      </c>
      <c r="T27" s="2345">
        <f>$Q27+('12.1.Разходи-увелич.и нам.'!AE27+'12.1.Разходи-увелич.и нам.'!AF27)</f>
        <v>0</v>
      </c>
      <c r="U27" s="2345">
        <f>$Q27+('12.1.Разходи-увелич.и нам.'!AG27+'12.1.Разходи-увелич.и нам.'!AH27)</f>
        <v>0</v>
      </c>
      <c r="V27" s="2345">
        <f>$Q27+('12.1.Разходи-увелич.и нам.'!AI27+'12.1.Разходи-увелич.и нам.'!AJ27)</f>
        <v>0</v>
      </c>
      <c r="W27" s="2346">
        <f>$Q27+('12.1.Разходи-увелич.и нам.'!AK27+'12.1.Разходи-увелич.и нам.'!AL27)</f>
        <v>0</v>
      </c>
      <c r="X27" s="2169"/>
      <c r="Y27" s="2169"/>
      <c r="Z27" s="794"/>
      <c r="AA27" s="781"/>
      <c r="AB27" s="781"/>
      <c r="AC27" s="781"/>
      <c r="AD27" s="790"/>
      <c r="AE27" s="361"/>
      <c r="AF27" s="377"/>
      <c r="AG27" s="297"/>
      <c r="AH27" s="297"/>
      <c r="AI27" s="361"/>
      <c r="AJ27" s="361"/>
      <c r="AK27" s="361"/>
      <c r="AL27" s="361"/>
      <c r="AM27" s="361"/>
    </row>
    <row r="28" spans="1:39" thickBot="1">
      <c r="A28" s="1050" t="s">
        <v>103</v>
      </c>
      <c r="B28" s="1051" t="s">
        <v>303</v>
      </c>
      <c r="C28" s="1990">
        <f>SUM(C29:C52)-C36-C49</f>
        <v>1487</v>
      </c>
      <c r="D28" s="1052">
        <f t="shared" ref="D28:W28" si="6">SUM(D29:D52)-D36-D49</f>
        <v>1487</v>
      </c>
      <c r="E28" s="1076">
        <f t="shared" si="6"/>
        <v>1570</v>
      </c>
      <c r="F28" s="1077">
        <f t="shared" si="6"/>
        <v>1570</v>
      </c>
      <c r="G28" s="1077">
        <f t="shared" si="6"/>
        <v>1612</v>
      </c>
      <c r="H28" s="1077">
        <f t="shared" si="6"/>
        <v>1871</v>
      </c>
      <c r="I28" s="1078">
        <f t="shared" si="6"/>
        <v>1871</v>
      </c>
      <c r="J28" s="1990">
        <f t="shared" si="6"/>
        <v>154</v>
      </c>
      <c r="K28" s="1052">
        <f t="shared" si="6"/>
        <v>163</v>
      </c>
      <c r="L28" s="1076">
        <f t="shared" si="6"/>
        <v>178.55</v>
      </c>
      <c r="M28" s="1077">
        <f t="shared" si="6"/>
        <v>179.49</v>
      </c>
      <c r="N28" s="1077">
        <f t="shared" si="6"/>
        <v>187</v>
      </c>
      <c r="O28" s="1077">
        <f t="shared" si="6"/>
        <v>212.7</v>
      </c>
      <c r="P28" s="1078">
        <f t="shared" si="6"/>
        <v>212.54</v>
      </c>
      <c r="Q28" s="1990">
        <f t="shared" si="6"/>
        <v>188</v>
      </c>
      <c r="R28" s="1052">
        <f t="shared" si="6"/>
        <v>167</v>
      </c>
      <c r="S28" s="1076">
        <f t="shared" si="6"/>
        <v>168</v>
      </c>
      <c r="T28" s="1077">
        <f t="shared" si="6"/>
        <v>171</v>
      </c>
      <c r="U28" s="1077">
        <f t="shared" si="6"/>
        <v>171</v>
      </c>
      <c r="V28" s="1077">
        <f t="shared" si="6"/>
        <v>184</v>
      </c>
      <c r="W28" s="1078">
        <f t="shared" si="6"/>
        <v>184</v>
      </c>
      <c r="X28" s="1052">
        <f t="shared" ref="X28:AD28" si="7">SUM(X29:X52)-X36-X49</f>
        <v>346</v>
      </c>
      <c r="Y28" s="1052">
        <f t="shared" si="7"/>
        <v>337</v>
      </c>
      <c r="Z28" s="1076">
        <f t="shared" si="7"/>
        <v>337</v>
      </c>
      <c r="AA28" s="1077">
        <f t="shared" si="7"/>
        <v>337</v>
      </c>
      <c r="AB28" s="1077">
        <f t="shared" si="7"/>
        <v>337</v>
      </c>
      <c r="AC28" s="1077">
        <f t="shared" si="7"/>
        <v>337</v>
      </c>
      <c r="AD28" s="1078">
        <f t="shared" si="7"/>
        <v>337</v>
      </c>
      <c r="AE28" s="362"/>
      <c r="AF28" s="377"/>
      <c r="AG28" s="297"/>
      <c r="AH28" s="297"/>
      <c r="AI28" s="362"/>
      <c r="AJ28" s="362"/>
      <c r="AK28" s="362"/>
      <c r="AL28" s="362"/>
      <c r="AM28" s="362"/>
    </row>
    <row r="29" spans="1:39" ht="14.25">
      <c r="A29" s="1036" t="s">
        <v>105</v>
      </c>
      <c r="B29" s="1037" t="s">
        <v>304</v>
      </c>
      <c r="C29" s="2681">
        <f>'12.1.Разходи-увелич.и нам.'!C29</f>
        <v>90</v>
      </c>
      <c r="D29" s="2344">
        <f>'12.1.Разходи-увелич.и нам.'!D29</f>
        <v>80</v>
      </c>
      <c r="E29" s="2345">
        <f>$C29+('12.1.Разходи-увелич.и нам.'!E29+'12.1.Разходи-увелич.и нам.'!F29)</f>
        <v>90</v>
      </c>
      <c r="F29" s="2345">
        <f>$C29+('12.1.Разходи-увелич.и нам.'!G29+'12.1.Разходи-увелич.и нам.'!H29)</f>
        <v>90</v>
      </c>
      <c r="G29" s="2345">
        <f>$C29+('12.1.Разходи-увелич.и нам.'!I29+'12.1.Разходи-увелич.и нам.'!J29)</f>
        <v>90</v>
      </c>
      <c r="H29" s="2345">
        <f>$C29+('12.1.Разходи-увелич.и нам.'!K29+'12.1.Разходи-увелич.и нам.'!L29)</f>
        <v>96</v>
      </c>
      <c r="I29" s="2346">
        <f>$C29+('12.1.Разходи-увелич.и нам.'!M29+'12.1.Разходи-увелич.и нам.'!N29)</f>
        <v>96</v>
      </c>
      <c r="J29" s="2347">
        <f>'12.1.Разходи-увелич.и нам.'!O29</f>
        <v>10</v>
      </c>
      <c r="K29" s="2344">
        <f>'12.1.Разходи-увелич.и нам.'!P29</f>
        <v>10</v>
      </c>
      <c r="L29" s="2345">
        <f>$J29+('12.1.Разходи-увелич.и нам.'!Q29+'12.1.Разходи-увелич.и нам.'!R29)</f>
        <v>10</v>
      </c>
      <c r="M29" s="2345">
        <f>$J29+('12.1.Разходи-увелич.и нам.'!S29+'12.1.Разходи-увелич.и нам.'!T29)</f>
        <v>10</v>
      </c>
      <c r="N29" s="2345">
        <f>$J29+('12.1.Разходи-увелич.и нам.'!U29+'12.1.Разходи-увелич.и нам.'!V29)</f>
        <v>10</v>
      </c>
      <c r="O29" s="2345">
        <f>$J29+('12.1.Разходи-увелич.и нам.'!W29+'12.1.Разходи-увелич.и нам.'!X29)</f>
        <v>10</v>
      </c>
      <c r="P29" s="2346">
        <f>$J29+('12.1.Разходи-увелич.и нам.'!Y29+'12.1.Разходи-увелич.и нам.'!Z29)</f>
        <v>10</v>
      </c>
      <c r="Q29" s="2347">
        <f>'12.1.Разходи-увелич.и нам.'!AA29</f>
        <v>10</v>
      </c>
      <c r="R29" s="2348">
        <f>'12.1.Разходи-увелич.и нам.'!AB29</f>
        <v>10</v>
      </c>
      <c r="S29" s="2345">
        <f>$Q29+('12.1.Разходи-увелич.и нам.'!AC29+'12.1.Разходи-увелич.и нам.'!AD29)</f>
        <v>10</v>
      </c>
      <c r="T29" s="2345">
        <f>$Q29+('12.1.Разходи-увелич.и нам.'!AE29+'12.1.Разходи-увелич.и нам.'!AF29)</f>
        <v>10</v>
      </c>
      <c r="U29" s="2345">
        <f>$Q29+('12.1.Разходи-увелич.и нам.'!AG29+'12.1.Разходи-увелич.и нам.'!AH29)</f>
        <v>10</v>
      </c>
      <c r="V29" s="2345">
        <f>$Q29+('12.1.Разходи-увелич.и нам.'!AI29+'12.1.Разходи-увелич.и нам.'!AJ29)</f>
        <v>10</v>
      </c>
      <c r="W29" s="2346">
        <f>$Q29+('12.1.Разходи-увелич.и нам.'!AK29+'12.1.Разходи-увелич.и нам.'!AL29)</f>
        <v>10</v>
      </c>
      <c r="X29" s="2169">
        <v>5</v>
      </c>
      <c r="Y29" s="2169">
        <v>5</v>
      </c>
      <c r="Z29" s="794">
        <v>5</v>
      </c>
      <c r="AA29" s="781">
        <v>5</v>
      </c>
      <c r="AB29" s="781">
        <v>5</v>
      </c>
      <c r="AC29" s="781">
        <v>5</v>
      </c>
      <c r="AD29" s="790">
        <v>5</v>
      </c>
      <c r="AE29" s="362"/>
      <c r="AF29" s="379"/>
      <c r="AG29" s="297"/>
      <c r="AH29" s="297"/>
      <c r="AI29" s="362"/>
      <c r="AJ29" s="362"/>
      <c r="AK29" s="362"/>
      <c r="AL29" s="362"/>
      <c r="AM29" s="362"/>
    </row>
    <row r="30" spans="1:39" ht="16.5" customHeight="1">
      <c r="A30" s="1042" t="s">
        <v>107</v>
      </c>
      <c r="B30" s="2993" t="s">
        <v>305</v>
      </c>
      <c r="C30" s="2347">
        <f>'12.1.Разходи-увелич.и нам.'!C30</f>
        <v>6</v>
      </c>
      <c r="D30" s="2349">
        <f>'12.1.Разходи-увелич.и нам.'!D30</f>
        <v>4</v>
      </c>
      <c r="E30" s="2350">
        <f>$C30+('12.1.Разходи-увелич.и нам.'!E30+'12.1.Разходи-увелич.и нам.'!F30)</f>
        <v>6</v>
      </c>
      <c r="F30" s="2350">
        <f>$C30+('12.1.Разходи-увелич.и нам.'!G30+'12.1.Разходи-увелич.и нам.'!H30)</f>
        <v>6</v>
      </c>
      <c r="G30" s="2350">
        <f>$C30+('12.1.Разходи-увелич.и нам.'!I30+'12.1.Разходи-увелич.и нам.'!J30)</f>
        <v>16</v>
      </c>
      <c r="H30" s="2350">
        <f>$C30+('12.1.Разходи-увелич.и нам.'!K30+'12.1.Разходи-увелич.и нам.'!L30)</f>
        <v>64</v>
      </c>
      <c r="I30" s="1449">
        <f>$C30+('12.1.Разходи-увелич.и нам.'!M30+'12.1.Разходи-увелич.и нам.'!N30)</f>
        <v>64</v>
      </c>
      <c r="J30" s="2347">
        <f>'12.1.Разходи-увелич.и нам.'!O30</f>
        <v>0</v>
      </c>
      <c r="K30" s="2344">
        <f>'12.1.Разходи-увелич.и нам.'!P30</f>
        <v>0</v>
      </c>
      <c r="L30" s="2345">
        <f>$J30+('12.1.Разходи-увелич.и нам.'!Q30+'12.1.Разходи-увелич.и нам.'!R30)</f>
        <v>0</v>
      </c>
      <c r="M30" s="2345">
        <f>$J30+('12.1.Разходи-увелич.и нам.'!S30+'12.1.Разходи-увелич.и нам.'!T30)</f>
        <v>0</v>
      </c>
      <c r="N30" s="2345">
        <f>$J30+('12.1.Разходи-увелич.и нам.'!U30+'12.1.Разходи-увелич.и нам.'!V30)</f>
        <v>0</v>
      </c>
      <c r="O30" s="2345">
        <f>$J30+('12.1.Разходи-увелич.и нам.'!W30+'12.1.Разходи-увелич.и нам.'!X30)</f>
        <v>0</v>
      </c>
      <c r="P30" s="2346">
        <f>$J30+('12.1.Разходи-увелич.и нам.'!Y30+'12.1.Разходи-увелич.и нам.'!Z30)</f>
        <v>0</v>
      </c>
      <c r="Q30" s="2347">
        <f>'12.1.Разходи-увелич.и нам.'!AA30</f>
        <v>0</v>
      </c>
      <c r="R30" s="2348">
        <f>'12.1.Разходи-увелич.и нам.'!AB30</f>
        <v>0</v>
      </c>
      <c r="S30" s="2345">
        <f>$Q30+('12.1.Разходи-увелич.и нам.'!AC30+'12.1.Разходи-увелич.и нам.'!AD30)</f>
        <v>0</v>
      </c>
      <c r="T30" s="2345">
        <f>$Q30+('12.1.Разходи-увелич.и нам.'!AE30+'12.1.Разходи-увелич.и нам.'!AF30)</f>
        <v>0</v>
      </c>
      <c r="U30" s="2345">
        <f>$Q30+('12.1.Разходи-увелич.и нам.'!AG30+'12.1.Разходи-увелич.и нам.'!AH30)</f>
        <v>0</v>
      </c>
      <c r="V30" s="2345">
        <f>$Q30+('12.1.Разходи-увелич.и нам.'!AI30+'12.1.Разходи-увелич.и нам.'!AJ30)</f>
        <v>0</v>
      </c>
      <c r="W30" s="2346">
        <f>$Q30+('12.1.Разходи-увелич.и нам.'!AK30+'12.1.Разходи-увелич.и нам.'!AL30)</f>
        <v>0</v>
      </c>
      <c r="X30" s="2169"/>
      <c r="Y30" s="2169"/>
      <c r="Z30" s="794"/>
      <c r="AA30" s="781"/>
      <c r="AB30" s="781"/>
      <c r="AC30" s="781"/>
      <c r="AD30" s="790"/>
      <c r="AE30" s="360"/>
      <c r="AF30" s="379"/>
      <c r="AG30" s="297"/>
      <c r="AH30" s="297"/>
      <c r="AI30" s="360"/>
      <c r="AJ30" s="360"/>
      <c r="AK30" s="360"/>
      <c r="AL30" s="360"/>
      <c r="AM30" s="360"/>
    </row>
    <row r="31" spans="1:39">
      <c r="A31" s="1042" t="s">
        <v>225</v>
      </c>
      <c r="B31" s="1043" t="s">
        <v>307</v>
      </c>
      <c r="C31" s="2347">
        <f>'12.1.Разходи-увелич.и нам.'!C31</f>
        <v>28</v>
      </c>
      <c r="D31" s="2349">
        <f>'12.1.Разходи-увелич.и нам.'!D31</f>
        <v>28</v>
      </c>
      <c r="E31" s="2350">
        <f>$C31+('12.1.Разходи-увелич.и нам.'!E31+'12.1.Разходи-увелич.и нам.'!F31)</f>
        <v>28</v>
      </c>
      <c r="F31" s="2350">
        <f>$C31+('12.1.Разходи-увелич.и нам.'!G31+'12.1.Разходи-увелич.и нам.'!H31)</f>
        <v>28</v>
      </c>
      <c r="G31" s="2350">
        <f>$C31+('12.1.Разходи-увелич.и нам.'!I31+'12.1.Разходи-увелич.и нам.'!J31)</f>
        <v>28</v>
      </c>
      <c r="H31" s="2350">
        <f>$C31+('12.1.Разходи-увелич.и нам.'!K31+'12.1.Разходи-увелич.и нам.'!L31)</f>
        <v>36</v>
      </c>
      <c r="I31" s="1449">
        <f>$C31+('12.1.Разходи-увелич.и нам.'!M31+'12.1.Разходи-увелич.и нам.'!N31)</f>
        <v>36</v>
      </c>
      <c r="J31" s="2347">
        <f>'12.1.Разходи-увелич.и нам.'!O31</f>
        <v>3</v>
      </c>
      <c r="K31" s="2344">
        <f>'12.1.Разходи-увелич.и нам.'!P31</f>
        <v>3</v>
      </c>
      <c r="L31" s="2345">
        <f>$J31+('12.1.Разходи-увелич.и нам.'!Q31+'12.1.Разходи-увелич.и нам.'!R31)</f>
        <v>3</v>
      </c>
      <c r="M31" s="2345">
        <f>$J31+('12.1.Разходи-увелич.и нам.'!S31+'12.1.Разходи-увелич.и нам.'!T31)</f>
        <v>3</v>
      </c>
      <c r="N31" s="2345">
        <f>$J31+('12.1.Разходи-увелич.и нам.'!U31+'12.1.Разходи-увелич.и нам.'!V31)</f>
        <v>3</v>
      </c>
      <c r="O31" s="2345">
        <f>$J31+('12.1.Разходи-увелич.и нам.'!W31+'12.1.Разходи-увелич.и нам.'!X31)</f>
        <v>3</v>
      </c>
      <c r="P31" s="2346">
        <f>$J31+('12.1.Разходи-увелич.и нам.'!Y31+'12.1.Разходи-увелич.и нам.'!Z31)</f>
        <v>3</v>
      </c>
      <c r="Q31" s="2347">
        <f>'12.1.Разходи-увелич.и нам.'!AA31</f>
        <v>4</v>
      </c>
      <c r="R31" s="2348">
        <f>'12.1.Разходи-увелич.и нам.'!AB31</f>
        <v>4</v>
      </c>
      <c r="S31" s="2345">
        <f>$Q31+('12.1.Разходи-увелич.и нам.'!AC31+'12.1.Разходи-увелич.и нам.'!AD31)</f>
        <v>4</v>
      </c>
      <c r="T31" s="2345">
        <f>$Q31+('12.1.Разходи-увелич.и нам.'!AE31+'12.1.Разходи-увелич.и нам.'!AF31)</f>
        <v>4</v>
      </c>
      <c r="U31" s="2345">
        <f>$Q31+('12.1.Разходи-увелич.и нам.'!AG31+'12.1.Разходи-увелич.и нам.'!AH31)</f>
        <v>4</v>
      </c>
      <c r="V31" s="2345">
        <f>$Q31+('12.1.Разходи-увелич.и нам.'!AI31+'12.1.Разходи-увелич.и нам.'!AJ31)</f>
        <v>4</v>
      </c>
      <c r="W31" s="2346">
        <f>$Q31+('12.1.Разходи-увелич.и нам.'!AK31+'12.1.Разходи-увелич.и нам.'!AL31)</f>
        <v>4</v>
      </c>
      <c r="X31" s="2169"/>
      <c r="Y31" s="2169"/>
      <c r="Z31" s="794"/>
      <c r="AA31" s="781"/>
      <c r="AB31" s="781"/>
      <c r="AC31" s="781"/>
      <c r="AD31" s="790"/>
      <c r="AE31" s="357"/>
      <c r="AF31" s="357"/>
      <c r="AG31" s="357"/>
      <c r="AH31" s="357"/>
      <c r="AI31" s="357"/>
      <c r="AJ31" s="357"/>
      <c r="AK31" s="357"/>
      <c r="AL31" s="357"/>
      <c r="AM31" s="357"/>
    </row>
    <row r="32" spans="1:39">
      <c r="A32" s="1042" t="s">
        <v>306</v>
      </c>
      <c r="B32" s="1043" t="s">
        <v>309</v>
      </c>
      <c r="C32" s="2347">
        <f>'12.1.Разходи-увелич.и нам.'!C32</f>
        <v>54</v>
      </c>
      <c r="D32" s="2349">
        <f>'12.1.Разходи-увелич.и нам.'!D32</f>
        <v>45</v>
      </c>
      <c r="E32" s="2350">
        <f>$C32+('12.1.Разходи-увелич.и нам.'!E32+'12.1.Разходи-увелич.и нам.'!F32)</f>
        <v>54</v>
      </c>
      <c r="F32" s="2350">
        <f>$C32+('12.1.Разходи-увелич.и нам.'!G32+'12.1.Разходи-увелич.и нам.'!H32)</f>
        <v>54</v>
      </c>
      <c r="G32" s="2350">
        <f>$C32+('12.1.Разходи-увелич.и нам.'!I32+'12.1.Разходи-увелич.и нам.'!J32)</f>
        <v>55</v>
      </c>
      <c r="H32" s="2350">
        <f>$C32+('12.1.Разходи-увелич.и нам.'!K32+'12.1.Разходи-увелич.и нам.'!L32)</f>
        <v>88</v>
      </c>
      <c r="I32" s="1449">
        <f>$C32+('12.1.Разходи-увелич.и нам.'!M32+'12.1.Разходи-увелич.и нам.'!N32)</f>
        <v>88</v>
      </c>
      <c r="J32" s="2347">
        <f>'12.1.Разходи-увелич.и нам.'!O32</f>
        <v>15</v>
      </c>
      <c r="K32" s="2344">
        <f>'12.1.Разходи-увелич.и нам.'!P32</f>
        <v>15</v>
      </c>
      <c r="L32" s="2345">
        <f>$J32+('12.1.Разходи-увелич.и нам.'!Q32+'12.1.Разходи-увелич.и нам.'!R32)</f>
        <v>15</v>
      </c>
      <c r="M32" s="2345">
        <f>$J32+('12.1.Разходи-увелич.и нам.'!S32+'12.1.Разходи-увелич.и нам.'!T32)</f>
        <v>15</v>
      </c>
      <c r="N32" s="2345">
        <f>$J32+('12.1.Разходи-увелич.и нам.'!U32+'12.1.Разходи-увелич.и нам.'!V32)</f>
        <v>15</v>
      </c>
      <c r="O32" s="2345">
        <f>$J32+('12.1.Разходи-увелич.и нам.'!W32+'12.1.Разходи-увелич.и нам.'!X32)</f>
        <v>18</v>
      </c>
      <c r="P32" s="2346">
        <f>$J32+('12.1.Разходи-увелич.и нам.'!Y32+'12.1.Разходи-увелич.и нам.'!Z32)</f>
        <v>18</v>
      </c>
      <c r="Q32" s="2347">
        <f>'12.1.Разходи-увелич.и нам.'!AA32</f>
        <v>14</v>
      </c>
      <c r="R32" s="2348">
        <f>'12.1.Разходи-увелич.и нам.'!AB32</f>
        <v>14</v>
      </c>
      <c r="S32" s="2345">
        <f>$Q32+('12.1.Разходи-увелич.и нам.'!AC32+'12.1.Разходи-увелич.и нам.'!AD32)</f>
        <v>14</v>
      </c>
      <c r="T32" s="2345">
        <f>$Q32+('12.1.Разходи-увелич.и нам.'!AE32+'12.1.Разходи-увелич.и нам.'!AF32)</f>
        <v>14</v>
      </c>
      <c r="U32" s="2345">
        <f>$Q32+('12.1.Разходи-увелич.и нам.'!AG32+'12.1.Разходи-увелич.и нам.'!AH32)</f>
        <v>14</v>
      </c>
      <c r="V32" s="2345">
        <f>$Q32+('12.1.Разходи-увелич.и нам.'!AI32+'12.1.Разходи-увелич.и нам.'!AJ32)</f>
        <v>14</v>
      </c>
      <c r="W32" s="2346">
        <f>$Q32+('12.1.Разходи-увелич.и нам.'!AK32+'12.1.Разходи-увелич.и нам.'!AL32)</f>
        <v>14</v>
      </c>
      <c r="X32" s="2169"/>
      <c r="Y32" s="2169"/>
      <c r="Z32" s="794"/>
      <c r="AA32" s="781"/>
      <c r="AB32" s="781"/>
      <c r="AC32" s="781"/>
      <c r="AD32" s="790"/>
    </row>
    <row r="33" spans="1:39">
      <c r="A33" s="1042" t="s">
        <v>308</v>
      </c>
      <c r="B33" s="1043" t="s">
        <v>311</v>
      </c>
      <c r="C33" s="2347">
        <f>'12.1.Разходи-увелич.и нам.'!C33</f>
        <v>7</v>
      </c>
      <c r="D33" s="2349">
        <f>'12.1.Разходи-увелич.и нам.'!D33</f>
        <v>7</v>
      </c>
      <c r="E33" s="2350">
        <f>$C33+('12.1.Разходи-увелич.и нам.'!E33+'12.1.Разходи-увелич.и нам.'!F33)</f>
        <v>7</v>
      </c>
      <c r="F33" s="2350">
        <f>$C33+('12.1.Разходи-увелич.и нам.'!G33+'12.1.Разходи-увелич.и нам.'!H33)</f>
        <v>7</v>
      </c>
      <c r="G33" s="2350">
        <f>$C33+('12.1.Разходи-увелич.и нам.'!I33+'12.1.Разходи-увелич.и нам.'!J33)</f>
        <v>7</v>
      </c>
      <c r="H33" s="2350">
        <f>$C33+('12.1.Разходи-увелич.и нам.'!K33+'12.1.Разходи-увелич.и нам.'!L33)</f>
        <v>27</v>
      </c>
      <c r="I33" s="1449">
        <f>$C33+('12.1.Разходи-увелич.и нам.'!M33+'12.1.Разходи-увелич.и нам.'!N33)</f>
        <v>27</v>
      </c>
      <c r="J33" s="2347">
        <f>'12.1.Разходи-увелич.и нам.'!O33</f>
        <v>0</v>
      </c>
      <c r="K33" s="2344">
        <f>'12.1.Разходи-увелич.и нам.'!P33</f>
        <v>0</v>
      </c>
      <c r="L33" s="2345">
        <f>$J33+('12.1.Разходи-увелич.и нам.'!Q33+'12.1.Разходи-увелич.и нам.'!R33)</f>
        <v>0</v>
      </c>
      <c r="M33" s="2345">
        <f>$J33+('12.1.Разходи-увелич.и нам.'!S33+'12.1.Разходи-увелич.и нам.'!T33)</f>
        <v>0</v>
      </c>
      <c r="N33" s="2345">
        <f>$J33+('12.1.Разходи-увелич.и нам.'!U33+'12.1.Разходи-увелич.и нам.'!V33)</f>
        <v>0</v>
      </c>
      <c r="O33" s="2345">
        <f>$J33+('12.1.Разходи-увелич.и нам.'!W33+'12.1.Разходи-увелич.и нам.'!X33)</f>
        <v>2</v>
      </c>
      <c r="P33" s="2346">
        <f>$J33+('12.1.Разходи-увелич.и нам.'!Y33+'12.1.Разходи-увелич.и нам.'!Z33)</f>
        <v>2</v>
      </c>
      <c r="Q33" s="2347">
        <f>'12.1.Разходи-увелич.и нам.'!AA33</f>
        <v>17</v>
      </c>
      <c r="R33" s="2348">
        <f>'12.1.Разходи-увелич.и нам.'!AB33</f>
        <v>17</v>
      </c>
      <c r="S33" s="2345">
        <f>$Q33+('12.1.Разходи-увелич.и нам.'!AC33+'12.1.Разходи-увелич.и нам.'!AD33)</f>
        <v>17</v>
      </c>
      <c r="T33" s="2345">
        <f>$Q33+('12.1.Разходи-увелич.и нам.'!AE33+'12.1.Разходи-увелич.и нам.'!AF33)</f>
        <v>17</v>
      </c>
      <c r="U33" s="2345">
        <f>$Q33+('12.1.Разходи-увелич.и нам.'!AG33+'12.1.Разходи-увелич.и нам.'!AH33)</f>
        <v>17</v>
      </c>
      <c r="V33" s="2345">
        <f>$Q33+('12.1.Разходи-увелич.и нам.'!AI33+'12.1.Разходи-увелич.и нам.'!AJ33)</f>
        <v>17</v>
      </c>
      <c r="W33" s="2346">
        <f>$Q33+('12.1.Разходи-увелич.и нам.'!AK33+'12.1.Разходи-увелич.и нам.'!AL33)</f>
        <v>17</v>
      </c>
      <c r="X33" s="2169"/>
      <c r="Y33" s="2169"/>
      <c r="Z33" s="794"/>
      <c r="AA33" s="781"/>
      <c r="AB33" s="781"/>
      <c r="AC33" s="781"/>
      <c r="AD33" s="790"/>
    </row>
    <row r="34" spans="1:39">
      <c r="A34" s="1042" t="s">
        <v>310</v>
      </c>
      <c r="B34" s="1043" t="s">
        <v>313</v>
      </c>
      <c r="C34" s="2347">
        <f>'12.1.Разходи-увелич.и нам.'!C34</f>
        <v>75</v>
      </c>
      <c r="D34" s="2349">
        <f>'12.1.Разходи-увелич.и нам.'!D34</f>
        <v>86</v>
      </c>
      <c r="E34" s="2350">
        <f>$C34+('12.1.Разходи-увелич.и нам.'!E34+'12.1.Разходи-увелич.и нам.'!F34)</f>
        <v>75</v>
      </c>
      <c r="F34" s="2350">
        <f>$C34+('12.1.Разходи-увелич.и нам.'!G34+'12.1.Разходи-увелич.и нам.'!H34)</f>
        <v>75</v>
      </c>
      <c r="G34" s="2350">
        <f>$C34+('12.1.Разходи-увелич.и нам.'!I34+'12.1.Разходи-увелич.и нам.'!J34)</f>
        <v>75</v>
      </c>
      <c r="H34" s="2350">
        <f>$C34+('12.1.Разходи-увелич.и нам.'!K34+'12.1.Разходи-увелич.и нам.'!L34)</f>
        <v>75</v>
      </c>
      <c r="I34" s="1449">
        <f>$C34+('12.1.Разходи-увелич.и нам.'!M34+'12.1.Разходи-увелич.и нам.'!N34)</f>
        <v>75</v>
      </c>
      <c r="J34" s="2347">
        <f>'12.1.Разходи-увелич.и нам.'!O34</f>
        <v>7</v>
      </c>
      <c r="K34" s="2344">
        <f>'12.1.Разходи-увелич.и нам.'!P34</f>
        <v>8</v>
      </c>
      <c r="L34" s="2345">
        <f>$J34+('12.1.Разходи-увелич.и нам.'!Q34+'12.1.Разходи-увелич.и нам.'!R34)</f>
        <v>7</v>
      </c>
      <c r="M34" s="2345">
        <f>$J34+('12.1.Разходи-увелич.и нам.'!S34+'12.1.Разходи-увелич.и нам.'!T34)</f>
        <v>7</v>
      </c>
      <c r="N34" s="2345">
        <f>$J34+('12.1.Разходи-увелич.и нам.'!U34+'12.1.Разходи-увелич.и нам.'!V34)</f>
        <v>7</v>
      </c>
      <c r="O34" s="2345">
        <f>$J34+('12.1.Разходи-увелич.и нам.'!W34+'12.1.Разходи-увелич.и нам.'!X34)</f>
        <v>7</v>
      </c>
      <c r="P34" s="2346">
        <f>$J34+('12.1.Разходи-увелич.и нам.'!Y34+'12.1.Разходи-увелич.и нам.'!Z34)</f>
        <v>7</v>
      </c>
      <c r="Q34" s="2347">
        <f>'12.1.Разходи-увелич.и нам.'!AA34</f>
        <v>14</v>
      </c>
      <c r="R34" s="2348">
        <f>'12.1.Разходи-увелич.и нам.'!AB34</f>
        <v>14</v>
      </c>
      <c r="S34" s="2345">
        <f>$Q34+('12.1.Разходи-увелич.и нам.'!AC34+'12.1.Разходи-увелич.и нам.'!AD34)</f>
        <v>14</v>
      </c>
      <c r="T34" s="2345">
        <f>$Q34+('12.1.Разходи-увелич.и нам.'!AE34+'12.1.Разходи-увелич.и нам.'!AF34)</f>
        <v>14</v>
      </c>
      <c r="U34" s="2345">
        <f>$Q34+('12.1.Разходи-увелич.и нам.'!AG34+'12.1.Разходи-увелич.и нам.'!AH34)</f>
        <v>14</v>
      </c>
      <c r="V34" s="2345">
        <f>$Q34+('12.1.Разходи-увелич.и нам.'!AI34+'12.1.Разходи-увелич.и нам.'!AJ34)</f>
        <v>14</v>
      </c>
      <c r="W34" s="2346">
        <f>$Q34+('12.1.Разходи-увелич.и нам.'!AK34+'12.1.Разходи-увелич.и нам.'!AL34)</f>
        <v>14</v>
      </c>
      <c r="X34" s="2169">
        <v>5</v>
      </c>
      <c r="Y34" s="2169">
        <v>5</v>
      </c>
      <c r="Z34" s="794">
        <v>5</v>
      </c>
      <c r="AA34" s="781">
        <v>5</v>
      </c>
      <c r="AB34" s="781">
        <v>5</v>
      </c>
      <c r="AC34" s="781">
        <v>5</v>
      </c>
      <c r="AD34" s="790">
        <v>5</v>
      </c>
    </row>
    <row r="35" spans="1:39">
      <c r="A35" s="1042" t="s">
        <v>312</v>
      </c>
      <c r="B35" s="1043" t="s">
        <v>315</v>
      </c>
      <c r="C35" s="2347">
        <f>'12.1.Разходи-увелич.и нам.'!C35</f>
        <v>22</v>
      </c>
      <c r="D35" s="2349">
        <f>'12.1.Разходи-увелич.и нам.'!D35</f>
        <v>20</v>
      </c>
      <c r="E35" s="2350">
        <f>$C35+('12.1.Разходи-увелич.и нам.'!E35+'12.1.Разходи-увелич.и нам.'!F35)</f>
        <v>22</v>
      </c>
      <c r="F35" s="2350">
        <f>$C35+('12.1.Разходи-увелич.и нам.'!G35+'12.1.Разходи-увелич.и нам.'!H35)</f>
        <v>22</v>
      </c>
      <c r="G35" s="2350">
        <f>$C35+('12.1.Разходи-увелич.и нам.'!I35+'12.1.Разходи-увелич.и нам.'!J35)</f>
        <v>22</v>
      </c>
      <c r="H35" s="2350">
        <f>$C35+('12.1.Разходи-увелич.и нам.'!K35+'12.1.Разходи-увелич.и нам.'!L35)</f>
        <v>28</v>
      </c>
      <c r="I35" s="1449">
        <f>$C35+('12.1.Разходи-увелич.и нам.'!M35+'12.1.Разходи-увелич.и нам.'!N35)</f>
        <v>28</v>
      </c>
      <c r="J35" s="2347">
        <f>'12.1.Разходи-увелич.и нам.'!O35</f>
        <v>3</v>
      </c>
      <c r="K35" s="2344">
        <f>'12.1.Разходи-увелич.и нам.'!P35</f>
        <v>3</v>
      </c>
      <c r="L35" s="2345">
        <f>$J35+('12.1.Разходи-увелич.и нам.'!Q35+'12.1.Разходи-увелич.и нам.'!R35)</f>
        <v>3</v>
      </c>
      <c r="M35" s="2345">
        <f>$J35+('12.1.Разходи-увелич.и нам.'!S35+'12.1.Разходи-увелич.и нам.'!T35)</f>
        <v>3</v>
      </c>
      <c r="N35" s="2345">
        <f>$J35+('12.1.Разходи-увелич.и нам.'!U35+'12.1.Разходи-увелич.и нам.'!V35)</f>
        <v>3</v>
      </c>
      <c r="O35" s="2345">
        <f>$J35+('12.1.Разходи-увелич.и нам.'!W35+'12.1.Разходи-увелич.и нам.'!X35)</f>
        <v>3</v>
      </c>
      <c r="P35" s="2346">
        <f>$J35+('12.1.Разходи-увелич.и нам.'!Y35+'12.1.Разходи-увелич.и нам.'!Z35)</f>
        <v>3</v>
      </c>
      <c r="Q35" s="2347">
        <f>'12.1.Разходи-увелич.и нам.'!AA35</f>
        <v>6</v>
      </c>
      <c r="R35" s="2348">
        <f>'12.1.Разходи-увелич.и нам.'!AB35</f>
        <v>6</v>
      </c>
      <c r="S35" s="2345">
        <f>$Q35+('12.1.Разходи-увелич.и нам.'!AC35+'12.1.Разходи-увелич.и нам.'!AD35)</f>
        <v>6</v>
      </c>
      <c r="T35" s="2345">
        <f>$Q35+('12.1.Разходи-увелич.и нам.'!AE35+'12.1.Разходи-увелич.и нам.'!AF35)</f>
        <v>6</v>
      </c>
      <c r="U35" s="2345">
        <f>$Q35+('12.1.Разходи-увелич.и нам.'!AG35+'12.1.Разходи-увелич.и нам.'!AH35)</f>
        <v>6</v>
      </c>
      <c r="V35" s="2345">
        <f>$Q35+('12.1.Разходи-увелич.и нам.'!AI35+'12.1.Разходи-увелич.и нам.'!AJ35)</f>
        <v>6</v>
      </c>
      <c r="W35" s="2346">
        <f>$Q35+('12.1.Разходи-увелич.и нам.'!AK35+'12.1.Разходи-увелич.и нам.'!AL35)</f>
        <v>6</v>
      </c>
      <c r="X35" s="2169"/>
      <c r="Y35" s="2169"/>
      <c r="Z35" s="794"/>
      <c r="AA35" s="781"/>
      <c r="AB35" s="781"/>
      <c r="AC35" s="781"/>
      <c r="AD35" s="790"/>
    </row>
    <row r="36" spans="1:39">
      <c r="A36" s="1042" t="s">
        <v>314</v>
      </c>
      <c r="B36" s="1043" t="s">
        <v>613</v>
      </c>
      <c r="C36" s="1093">
        <f>SUM(C37:C40)</f>
        <v>45</v>
      </c>
      <c r="D36" s="1087">
        <f t="shared" ref="D36:AD36" si="8">SUM(D37:D40)</f>
        <v>41</v>
      </c>
      <c r="E36" s="1088">
        <f t="shared" si="8"/>
        <v>45</v>
      </c>
      <c r="F36" s="1089">
        <f t="shared" si="8"/>
        <v>45</v>
      </c>
      <c r="G36" s="1089">
        <f t="shared" si="8"/>
        <v>45</v>
      </c>
      <c r="H36" s="1089">
        <f t="shared" si="8"/>
        <v>45</v>
      </c>
      <c r="I36" s="1090">
        <f t="shared" si="8"/>
        <v>45</v>
      </c>
      <c r="J36" s="1093">
        <f t="shared" si="8"/>
        <v>8</v>
      </c>
      <c r="K36" s="1087">
        <f t="shared" si="8"/>
        <v>8</v>
      </c>
      <c r="L36" s="1088">
        <f t="shared" si="8"/>
        <v>8</v>
      </c>
      <c r="M36" s="1089">
        <f t="shared" si="8"/>
        <v>8</v>
      </c>
      <c r="N36" s="1089">
        <f t="shared" si="8"/>
        <v>8</v>
      </c>
      <c r="O36" s="1089">
        <f t="shared" si="8"/>
        <v>8</v>
      </c>
      <c r="P36" s="1090">
        <f t="shared" si="8"/>
        <v>8</v>
      </c>
      <c r="Q36" s="1093">
        <f t="shared" si="8"/>
        <v>12</v>
      </c>
      <c r="R36" s="1087">
        <f t="shared" si="8"/>
        <v>12</v>
      </c>
      <c r="S36" s="1088">
        <f t="shared" si="8"/>
        <v>12</v>
      </c>
      <c r="T36" s="1089">
        <f t="shared" si="8"/>
        <v>12</v>
      </c>
      <c r="U36" s="1089">
        <f t="shared" si="8"/>
        <v>12</v>
      </c>
      <c r="V36" s="1089">
        <f t="shared" si="8"/>
        <v>12</v>
      </c>
      <c r="W36" s="1090">
        <f t="shared" si="8"/>
        <v>12</v>
      </c>
      <c r="X36" s="1087">
        <f t="shared" si="8"/>
        <v>0</v>
      </c>
      <c r="Y36" s="1087">
        <f t="shared" si="8"/>
        <v>0</v>
      </c>
      <c r="Z36" s="1088">
        <f t="shared" si="8"/>
        <v>0</v>
      </c>
      <c r="AA36" s="1089">
        <f t="shared" si="8"/>
        <v>0</v>
      </c>
      <c r="AB36" s="1089">
        <f t="shared" si="8"/>
        <v>0</v>
      </c>
      <c r="AC36" s="1089">
        <f t="shared" si="8"/>
        <v>0</v>
      </c>
      <c r="AD36" s="1090">
        <f t="shared" si="8"/>
        <v>0</v>
      </c>
    </row>
    <row r="37" spans="1:39" s="359" customFormat="1">
      <c r="A37" s="1055" t="s">
        <v>614</v>
      </c>
      <c r="B37" s="1047" t="s">
        <v>317</v>
      </c>
      <c r="C37" s="2681">
        <f>'12.1.Разходи-увелич.и нам.'!C37</f>
        <v>10</v>
      </c>
      <c r="D37" s="2344">
        <f>'12.1.Разходи-увелич.и нам.'!D37</f>
        <v>10</v>
      </c>
      <c r="E37" s="2345">
        <f>$C37+('12.1.Разходи-увелич.и нам.'!E37+'12.1.Разходи-увелич.и нам.'!F37)</f>
        <v>10</v>
      </c>
      <c r="F37" s="2345">
        <f>$C37+('12.1.Разходи-увелич.и нам.'!G37+'12.1.Разходи-увелич.и нам.'!H37)</f>
        <v>10</v>
      </c>
      <c r="G37" s="2345">
        <f>$C37+('12.1.Разходи-увелич.и нам.'!I37+'12.1.Разходи-увелич.и нам.'!J37)</f>
        <v>10</v>
      </c>
      <c r="H37" s="2345">
        <f>$C37+('12.1.Разходи-увелич.и нам.'!K37+'12.1.Разходи-увелич.и нам.'!L37)</f>
        <v>10</v>
      </c>
      <c r="I37" s="2346">
        <f>$C37+('12.1.Разходи-увелич.и нам.'!M37+'12.1.Разходи-увелич.и нам.'!N37)</f>
        <v>10</v>
      </c>
      <c r="J37" s="2347">
        <f>'12.1.Разходи-увелич.и нам.'!O37</f>
        <v>3</v>
      </c>
      <c r="K37" s="2344">
        <f>'12.1.Разходи-увелич.и нам.'!P37</f>
        <v>3</v>
      </c>
      <c r="L37" s="2345">
        <f>$J37+('12.1.Разходи-увелич.и нам.'!Q37+'12.1.Разходи-увелич.и нам.'!R37)</f>
        <v>3</v>
      </c>
      <c r="M37" s="2345">
        <f>$J37+('12.1.Разходи-увелич.и нам.'!S37+'12.1.Разходи-увелич.и нам.'!T37)</f>
        <v>3</v>
      </c>
      <c r="N37" s="2345">
        <f>$J37+('12.1.Разходи-увелич.и нам.'!U37+'12.1.Разходи-увелич.и нам.'!V37)</f>
        <v>3</v>
      </c>
      <c r="O37" s="2345">
        <f>$J37+('12.1.Разходи-увелич.и нам.'!W37+'12.1.Разходи-увелич.и нам.'!X37)</f>
        <v>3</v>
      </c>
      <c r="P37" s="2346">
        <f>$J37+('12.1.Разходи-увелич.и нам.'!Y37+'12.1.Разходи-увелич.и нам.'!Z37)</f>
        <v>3</v>
      </c>
      <c r="Q37" s="2347">
        <f>'12.1.Разходи-увелич.и нам.'!AA37</f>
        <v>2</v>
      </c>
      <c r="R37" s="2348">
        <f>'12.1.Разходи-увелич.и нам.'!AB37</f>
        <v>2</v>
      </c>
      <c r="S37" s="2345">
        <f>$Q37+('12.1.Разходи-увелич.и нам.'!AC37+'12.1.Разходи-увелич.и нам.'!AD37)</f>
        <v>2</v>
      </c>
      <c r="T37" s="2345">
        <f>$Q37+('12.1.Разходи-увелич.и нам.'!AE37+'12.1.Разходи-увелич.и нам.'!AF37)</f>
        <v>2</v>
      </c>
      <c r="U37" s="2345">
        <f>$Q37+('12.1.Разходи-увелич.и нам.'!AG37+'12.1.Разходи-увелич.и нам.'!AH37)</f>
        <v>2</v>
      </c>
      <c r="V37" s="2345">
        <f>$Q37+('12.1.Разходи-увелич.и нам.'!AI37+'12.1.Разходи-увелич.и нам.'!AJ37)</f>
        <v>2</v>
      </c>
      <c r="W37" s="2346">
        <f>$Q37+('12.1.Разходи-увелич.и нам.'!AK37+'12.1.Разходи-увелич.и нам.'!AL37)</f>
        <v>2</v>
      </c>
      <c r="X37" s="2169"/>
      <c r="Y37" s="2169"/>
      <c r="Z37" s="794"/>
      <c r="AA37" s="781"/>
      <c r="AB37" s="781"/>
      <c r="AC37" s="781"/>
      <c r="AD37" s="790"/>
      <c r="AE37" s="357"/>
      <c r="AF37" s="357"/>
      <c r="AG37" s="357"/>
      <c r="AH37" s="357"/>
      <c r="AI37" s="357"/>
      <c r="AJ37" s="357"/>
      <c r="AK37" s="357"/>
      <c r="AL37" s="357"/>
      <c r="AM37" s="357"/>
    </row>
    <row r="38" spans="1:39" s="359" customFormat="1">
      <c r="A38" s="1055" t="s">
        <v>615</v>
      </c>
      <c r="B38" s="1047" t="s">
        <v>318</v>
      </c>
      <c r="C38" s="2681">
        <f>'12.1.Разходи-увелич.и нам.'!C38</f>
        <v>11</v>
      </c>
      <c r="D38" s="2344">
        <f>'12.1.Разходи-увелич.и нам.'!D38</f>
        <v>11</v>
      </c>
      <c r="E38" s="2345">
        <f>$C38+('12.1.Разходи-увелич.и нам.'!E38+'12.1.Разходи-увелич.и нам.'!F38)</f>
        <v>11</v>
      </c>
      <c r="F38" s="2345">
        <f>$C38+('12.1.Разходи-увелич.и нам.'!G38+'12.1.Разходи-увелич.и нам.'!H38)</f>
        <v>11</v>
      </c>
      <c r="G38" s="2345">
        <f>$C38+('12.1.Разходи-увелич.и нам.'!I38+'12.1.Разходи-увелич.и нам.'!J38)</f>
        <v>11</v>
      </c>
      <c r="H38" s="2345">
        <f>$C38+('12.1.Разходи-увелич.и нам.'!K38+'12.1.Разходи-увелич.и нам.'!L38)</f>
        <v>11</v>
      </c>
      <c r="I38" s="2346">
        <f>$C38+('12.1.Разходи-увелич.и нам.'!M38+'12.1.Разходи-увелич.и нам.'!N38)</f>
        <v>11</v>
      </c>
      <c r="J38" s="2347">
        <f>'12.1.Разходи-увелич.и нам.'!O38</f>
        <v>1</v>
      </c>
      <c r="K38" s="2344">
        <f>'12.1.Разходи-увелич.и нам.'!P38</f>
        <v>1</v>
      </c>
      <c r="L38" s="2345">
        <f>$J38+('12.1.Разходи-увелич.и нам.'!Q38+'12.1.Разходи-увелич.и нам.'!R38)</f>
        <v>1</v>
      </c>
      <c r="M38" s="2345">
        <f>$J38+('12.1.Разходи-увелич.и нам.'!S38+'12.1.Разходи-увелич.и нам.'!T38)</f>
        <v>1</v>
      </c>
      <c r="N38" s="2345">
        <f>$J38+('12.1.Разходи-увелич.и нам.'!U38+'12.1.Разходи-увелич.и нам.'!V38)</f>
        <v>1</v>
      </c>
      <c r="O38" s="2345">
        <f>$J38+('12.1.Разходи-увелич.и нам.'!W38+'12.1.Разходи-увелич.и нам.'!X38)</f>
        <v>1</v>
      </c>
      <c r="P38" s="2346">
        <f>$J38+('12.1.Разходи-увелич.и нам.'!Y38+'12.1.Разходи-увелич.и нам.'!Z38)</f>
        <v>1</v>
      </c>
      <c r="Q38" s="2347">
        <f>'12.1.Разходи-увелич.и нам.'!AA38</f>
        <v>2</v>
      </c>
      <c r="R38" s="2348">
        <f>'12.1.Разходи-увелич.и нам.'!AB38</f>
        <v>2</v>
      </c>
      <c r="S38" s="2345">
        <f>$Q38+('12.1.Разходи-увелич.и нам.'!AC38+'12.1.Разходи-увелич.и нам.'!AD38)</f>
        <v>2</v>
      </c>
      <c r="T38" s="2345">
        <f>$Q38+('12.1.Разходи-увелич.и нам.'!AE38+'12.1.Разходи-увелич.и нам.'!AF38)</f>
        <v>2</v>
      </c>
      <c r="U38" s="2345">
        <f>$Q38+('12.1.Разходи-увелич.и нам.'!AG38+'12.1.Разходи-увелич.и нам.'!AH38)</f>
        <v>2</v>
      </c>
      <c r="V38" s="2345">
        <f>$Q38+('12.1.Разходи-увелич.и нам.'!AI38+'12.1.Разходи-увелич.и нам.'!AJ38)</f>
        <v>2</v>
      </c>
      <c r="W38" s="2346">
        <f>$Q38+('12.1.Разходи-увелич.и нам.'!AK38+'12.1.Разходи-увелич.и нам.'!AL38)</f>
        <v>2</v>
      </c>
      <c r="X38" s="2169"/>
      <c r="Y38" s="2169"/>
      <c r="Z38" s="794"/>
      <c r="AA38" s="781"/>
      <c r="AB38" s="781"/>
      <c r="AC38" s="781"/>
      <c r="AD38" s="790"/>
      <c r="AE38" s="357"/>
      <c r="AF38" s="357"/>
      <c r="AG38" s="357"/>
      <c r="AH38" s="357"/>
      <c r="AI38" s="357"/>
      <c r="AJ38" s="357"/>
      <c r="AK38" s="357"/>
      <c r="AL38" s="357"/>
      <c r="AM38" s="357"/>
    </row>
    <row r="39" spans="1:39" s="359" customFormat="1">
      <c r="A39" s="1055" t="s">
        <v>616</v>
      </c>
      <c r="B39" s="1047" t="s">
        <v>319</v>
      </c>
      <c r="C39" s="2681">
        <f>'12.1.Разходи-увелич.и нам.'!C39</f>
        <v>24</v>
      </c>
      <c r="D39" s="2344">
        <f>'12.1.Разходи-увелич.и нам.'!D39</f>
        <v>20</v>
      </c>
      <c r="E39" s="2345">
        <f>$C39+('12.1.Разходи-увелич.и нам.'!E39+'12.1.Разходи-увелич.и нам.'!F39)</f>
        <v>24</v>
      </c>
      <c r="F39" s="2345">
        <f>$C39+('12.1.Разходи-увелич.и нам.'!G39+'12.1.Разходи-увелич.и нам.'!H39)</f>
        <v>24</v>
      </c>
      <c r="G39" s="2345">
        <f>$C39+('12.1.Разходи-увелич.и нам.'!I39+'12.1.Разходи-увелич.и нам.'!J39)</f>
        <v>24</v>
      </c>
      <c r="H39" s="2345">
        <f>$C39+('12.1.Разходи-увелич.и нам.'!K39+'12.1.Разходи-увелич.и нам.'!L39)</f>
        <v>24</v>
      </c>
      <c r="I39" s="2346">
        <f>$C39+('12.1.Разходи-увелич.и нам.'!M39+'12.1.Разходи-увелич.и нам.'!N39)</f>
        <v>24</v>
      </c>
      <c r="J39" s="2347">
        <f>'12.1.Разходи-увелич.и нам.'!O39</f>
        <v>3</v>
      </c>
      <c r="K39" s="2344">
        <f>'12.1.Разходи-увелич.и нам.'!P39</f>
        <v>3</v>
      </c>
      <c r="L39" s="2345">
        <f>$J39+('12.1.Разходи-увелич.и нам.'!Q39+'12.1.Разходи-увелич.и нам.'!R39)</f>
        <v>3</v>
      </c>
      <c r="M39" s="2345">
        <f>$J39+('12.1.Разходи-увелич.и нам.'!S39+'12.1.Разходи-увелич.и нам.'!T39)</f>
        <v>3</v>
      </c>
      <c r="N39" s="2345">
        <f>$J39+('12.1.Разходи-увелич.и нам.'!U39+'12.1.Разходи-увелич.и нам.'!V39)</f>
        <v>3</v>
      </c>
      <c r="O39" s="2345">
        <f>$J39+('12.1.Разходи-увелич.и нам.'!W39+'12.1.Разходи-увелич.и нам.'!X39)</f>
        <v>3</v>
      </c>
      <c r="P39" s="2346">
        <f>$J39+('12.1.Разходи-увелич.и нам.'!Y39+'12.1.Разходи-увелич.и нам.'!Z39)</f>
        <v>3</v>
      </c>
      <c r="Q39" s="2347">
        <f>'12.1.Разходи-увелич.и нам.'!AA39</f>
        <v>5</v>
      </c>
      <c r="R39" s="2348">
        <f>'12.1.Разходи-увелич.и нам.'!AB39</f>
        <v>5</v>
      </c>
      <c r="S39" s="2345">
        <f>$Q39+('12.1.Разходи-увелич.и нам.'!AC39+'12.1.Разходи-увелич.и нам.'!AD39)</f>
        <v>5</v>
      </c>
      <c r="T39" s="2345">
        <f>$Q39+('12.1.Разходи-увелич.и нам.'!AE39+'12.1.Разходи-увелич.и нам.'!AF39)</f>
        <v>5</v>
      </c>
      <c r="U39" s="2345">
        <f>$Q39+('12.1.Разходи-увелич.и нам.'!AG39+'12.1.Разходи-увелич.и нам.'!AH39)</f>
        <v>5</v>
      </c>
      <c r="V39" s="2345">
        <f>$Q39+('12.1.Разходи-увелич.и нам.'!AI39+'12.1.Разходи-увелич.и нам.'!AJ39)</f>
        <v>5</v>
      </c>
      <c r="W39" s="2346">
        <f>$Q39+('12.1.Разходи-увелич.и нам.'!AK39+'12.1.Разходи-увелич.и нам.'!AL39)</f>
        <v>5</v>
      </c>
      <c r="X39" s="2169"/>
      <c r="Y39" s="2169"/>
      <c r="Z39" s="794"/>
      <c r="AA39" s="781"/>
      <c r="AB39" s="781"/>
      <c r="AC39" s="781"/>
      <c r="AD39" s="790"/>
      <c r="AE39" s="357"/>
      <c r="AF39" s="357"/>
      <c r="AG39" s="357"/>
      <c r="AH39" s="357"/>
      <c r="AI39" s="357"/>
      <c r="AJ39" s="357"/>
      <c r="AK39" s="357"/>
      <c r="AL39" s="357"/>
      <c r="AM39" s="357"/>
    </row>
    <row r="40" spans="1:39" s="359" customFormat="1">
      <c r="A40" s="1055" t="s">
        <v>617</v>
      </c>
      <c r="B40" s="1047" t="s">
        <v>618</v>
      </c>
      <c r="C40" s="2681">
        <f>'12.1.Разходи-увелич.и нам.'!C40</f>
        <v>0</v>
      </c>
      <c r="D40" s="2344">
        <f>'12.1.Разходи-увелич.и нам.'!D40</f>
        <v>0</v>
      </c>
      <c r="E40" s="2345">
        <f>$C40+('12.1.Разходи-увелич.и нам.'!E40+'12.1.Разходи-увелич.и нам.'!F40)</f>
        <v>0</v>
      </c>
      <c r="F40" s="2345">
        <f>$C40+('12.1.Разходи-увелич.и нам.'!G40+'12.1.Разходи-увелич.и нам.'!H40)</f>
        <v>0</v>
      </c>
      <c r="G40" s="2345">
        <f>$C40+('12.1.Разходи-увелич.и нам.'!I40+'12.1.Разходи-увелич.и нам.'!J40)</f>
        <v>0</v>
      </c>
      <c r="H40" s="2345">
        <f>$C40+('12.1.Разходи-увелич.и нам.'!K40+'12.1.Разходи-увелич.и нам.'!L40)</f>
        <v>0</v>
      </c>
      <c r="I40" s="2346">
        <f>$C40+('12.1.Разходи-увелич.и нам.'!M40+'12.1.Разходи-увелич.и нам.'!N40)</f>
        <v>0</v>
      </c>
      <c r="J40" s="2347">
        <f>'12.1.Разходи-увелич.и нам.'!O40</f>
        <v>1</v>
      </c>
      <c r="K40" s="2344">
        <f>'12.1.Разходи-увелич.и нам.'!P40</f>
        <v>1</v>
      </c>
      <c r="L40" s="2345">
        <f>$J40+('12.1.Разходи-увелич.и нам.'!Q40+'12.1.Разходи-увелич.и нам.'!R40)</f>
        <v>1</v>
      </c>
      <c r="M40" s="2345">
        <f>$J40+('12.1.Разходи-увелич.и нам.'!S40+'12.1.Разходи-увелич.и нам.'!T40)</f>
        <v>1</v>
      </c>
      <c r="N40" s="2345">
        <f>$J40+('12.1.Разходи-увелич.и нам.'!U40+'12.1.Разходи-увелич.и нам.'!V40)</f>
        <v>1</v>
      </c>
      <c r="O40" s="2345">
        <f>$J40+('12.1.Разходи-увелич.и нам.'!W40+'12.1.Разходи-увелич.и нам.'!X40)</f>
        <v>1</v>
      </c>
      <c r="P40" s="2346">
        <f>$J40+('12.1.Разходи-увелич.и нам.'!Y40+'12.1.Разходи-увелич.и нам.'!Z40)</f>
        <v>1</v>
      </c>
      <c r="Q40" s="2347">
        <f>'12.1.Разходи-увелич.и нам.'!AA40</f>
        <v>3</v>
      </c>
      <c r="R40" s="2348">
        <f>'12.1.Разходи-увелич.и нам.'!AB40</f>
        <v>3</v>
      </c>
      <c r="S40" s="2345">
        <f>$Q40+('12.1.Разходи-увелич.и нам.'!AC40+'12.1.Разходи-увелич.и нам.'!AD40)</f>
        <v>3</v>
      </c>
      <c r="T40" s="2345">
        <f>$Q40+('12.1.Разходи-увелич.и нам.'!AE40+'12.1.Разходи-увелич.и нам.'!AF40)</f>
        <v>3</v>
      </c>
      <c r="U40" s="2345">
        <f>$Q40+('12.1.Разходи-увелич.и нам.'!AG40+'12.1.Разходи-увелич.и нам.'!AH40)</f>
        <v>3</v>
      </c>
      <c r="V40" s="2345">
        <f>$Q40+('12.1.Разходи-увелич.и нам.'!AI40+'12.1.Разходи-увелич.и нам.'!AJ40)</f>
        <v>3</v>
      </c>
      <c r="W40" s="2346">
        <f>$Q40+('12.1.Разходи-увелич.и нам.'!AK40+'12.1.Разходи-увелич.и нам.'!AL40)</f>
        <v>3</v>
      </c>
      <c r="X40" s="2169"/>
      <c r="Y40" s="2169"/>
      <c r="Z40" s="794"/>
      <c r="AA40" s="781"/>
      <c r="AB40" s="781"/>
      <c r="AC40" s="781"/>
      <c r="AD40" s="790"/>
      <c r="AE40" s="357"/>
      <c r="AF40" s="357"/>
      <c r="AG40" s="357"/>
      <c r="AH40" s="357"/>
      <c r="AI40" s="357"/>
      <c r="AJ40" s="357"/>
      <c r="AK40" s="357"/>
      <c r="AL40" s="357"/>
      <c r="AM40" s="357"/>
    </row>
    <row r="41" spans="1:39">
      <c r="A41" s="1042" t="s">
        <v>316</v>
      </c>
      <c r="B41" s="1043" t="s">
        <v>321</v>
      </c>
      <c r="C41" s="2347">
        <f>'12.1.Разходи-увелич.и нам.'!C41</f>
        <v>303</v>
      </c>
      <c r="D41" s="2349">
        <f>'12.1.Разходи-увелич.и нам.'!D41</f>
        <v>303</v>
      </c>
      <c r="E41" s="2350">
        <f>$C41+('12.1.Разходи-увелич.и нам.'!E41+'12.1.Разходи-увелич.и нам.'!F41)</f>
        <v>386</v>
      </c>
      <c r="F41" s="2350">
        <f>$C41+('12.1.Разходи-увелич.и нам.'!G41+'12.1.Разходи-увелич.и нам.'!H41)</f>
        <v>386</v>
      </c>
      <c r="G41" s="2350">
        <f>$C41+('12.1.Разходи-увелич.и нам.'!I41+'12.1.Разходи-увелич.и нам.'!J41)</f>
        <v>386</v>
      </c>
      <c r="H41" s="2350">
        <f>$C41+('12.1.Разходи-увелич.и нам.'!K41+'12.1.Разходи-увелич.и нам.'!L41)</f>
        <v>433</v>
      </c>
      <c r="I41" s="1449">
        <f>$C41+('12.1.Разходи-увелич.и нам.'!M41+'12.1.Разходи-увелич.и нам.'!N41)</f>
        <v>433</v>
      </c>
      <c r="J41" s="2347">
        <f>'12.1.Разходи-увелич.и нам.'!O41</f>
        <v>20</v>
      </c>
      <c r="K41" s="2344">
        <f>'12.1.Разходи-увелич.и нам.'!P41</f>
        <v>20</v>
      </c>
      <c r="L41" s="2345">
        <f>$J41+('12.1.Разходи-увелич.и нам.'!Q41+'12.1.Разходи-увелич.и нам.'!R41)</f>
        <v>20</v>
      </c>
      <c r="M41" s="2345">
        <f>$J41+('12.1.Разходи-увелич.и нам.'!S41+'12.1.Разходи-увелич.и нам.'!T41)</f>
        <v>20</v>
      </c>
      <c r="N41" s="2345">
        <f>$J41+('12.1.Разходи-увелич.и нам.'!U41+'12.1.Разходи-увелич.и нам.'!V41)</f>
        <v>20</v>
      </c>
      <c r="O41" s="2345">
        <f>$J41+('12.1.Разходи-увелич.и нам.'!W41+'12.1.Разходи-увелич.и нам.'!X41)</f>
        <v>20</v>
      </c>
      <c r="P41" s="2346">
        <f>$J41+('12.1.Разходи-увелич.и нам.'!Y41+'12.1.Разходи-увелич.и нам.'!Z41)</f>
        <v>20</v>
      </c>
      <c r="Q41" s="2347">
        <f>'12.1.Разходи-увелич.и нам.'!AA41</f>
        <v>32</v>
      </c>
      <c r="R41" s="2348">
        <f>'12.1.Разходи-увелич.и нам.'!AB41</f>
        <v>32</v>
      </c>
      <c r="S41" s="2345">
        <f>$Q41+('12.1.Разходи-увелич.и нам.'!AC41+'12.1.Разходи-увелич.и нам.'!AD41)</f>
        <v>32</v>
      </c>
      <c r="T41" s="2345">
        <f>$Q41+('12.1.Разходи-увелич.и нам.'!AE41+'12.1.Разходи-увелич.и нам.'!AF41)</f>
        <v>35</v>
      </c>
      <c r="U41" s="2345">
        <f>$Q41+('12.1.Разходи-увелич.и нам.'!AG41+'12.1.Разходи-увелич.и нам.'!AH41)</f>
        <v>35</v>
      </c>
      <c r="V41" s="2345">
        <f>$Q41+('12.1.Разходи-увелич.и нам.'!AI41+'12.1.Разходи-увелич.и нам.'!AJ41)</f>
        <v>48</v>
      </c>
      <c r="W41" s="2346">
        <f>$Q41+('12.1.Разходи-увелич.и нам.'!AK41+'12.1.Разходи-увелич.и нам.'!AL41)</f>
        <v>48</v>
      </c>
      <c r="X41" s="2169">
        <v>16</v>
      </c>
      <c r="Y41" s="2169">
        <v>16</v>
      </c>
      <c r="Z41" s="794">
        <v>16</v>
      </c>
      <c r="AA41" s="781">
        <v>16</v>
      </c>
      <c r="AB41" s="781">
        <v>16</v>
      </c>
      <c r="AC41" s="781">
        <v>16</v>
      </c>
      <c r="AD41" s="790">
        <v>16</v>
      </c>
      <c r="AE41" s="357"/>
      <c r="AF41" s="357"/>
      <c r="AG41" s="357"/>
      <c r="AH41" s="357"/>
      <c r="AI41" s="357"/>
      <c r="AJ41" s="357"/>
      <c r="AK41" s="357"/>
      <c r="AL41" s="357"/>
      <c r="AM41" s="357"/>
    </row>
    <row r="42" spans="1:39">
      <c r="A42" s="1042" t="s">
        <v>320</v>
      </c>
      <c r="B42" s="1043" t="s">
        <v>323</v>
      </c>
      <c r="C42" s="2347">
        <f>'12.1.Разходи-увелич.и нам.'!C42</f>
        <v>61</v>
      </c>
      <c r="D42" s="2349">
        <f>'12.1.Разходи-увелич.и нам.'!D42</f>
        <v>65</v>
      </c>
      <c r="E42" s="2350">
        <f>$C42+('12.1.Разходи-увелич.и нам.'!E42+'12.1.Разходи-увелич.и нам.'!F42)</f>
        <v>61</v>
      </c>
      <c r="F42" s="2350">
        <f>$C42+('12.1.Разходи-увелич.и нам.'!G42+'12.1.Разходи-увелич.и нам.'!H42)</f>
        <v>61</v>
      </c>
      <c r="G42" s="2350">
        <f>$C42+('12.1.Разходи-увелич.и нам.'!I42+'12.1.Разходи-увелич.и нам.'!J42)</f>
        <v>62</v>
      </c>
      <c r="H42" s="2350">
        <f>$C42+('12.1.Разходи-увелич.и нам.'!K42+'12.1.Разходи-увелич.и нам.'!L42)</f>
        <v>68</v>
      </c>
      <c r="I42" s="1449">
        <f>$C42+('12.1.Разходи-увелич.и нам.'!M42+'12.1.Разходи-увелич.и нам.'!N42)</f>
        <v>68</v>
      </c>
      <c r="J42" s="2347">
        <f>'12.1.Разходи-увелич.и нам.'!O42</f>
        <v>8</v>
      </c>
      <c r="K42" s="2344">
        <f>'12.1.Разходи-увелич.и нам.'!P42</f>
        <v>8</v>
      </c>
      <c r="L42" s="2345">
        <f>$J42+('12.1.Разходи-увелич.и нам.'!Q42+'12.1.Разходи-увелич.и нам.'!R42)</f>
        <v>8</v>
      </c>
      <c r="M42" s="2345">
        <f>$J42+('12.1.Разходи-увелич.и нам.'!S42+'12.1.Разходи-увелич.и нам.'!T42)</f>
        <v>8</v>
      </c>
      <c r="N42" s="2345">
        <f>$J42+('12.1.Разходи-увелич.и нам.'!U42+'12.1.Разходи-увелич.и нам.'!V42)</f>
        <v>8</v>
      </c>
      <c r="O42" s="2345">
        <f>$J42+('12.1.Разходи-увелич.и нам.'!W42+'12.1.Разходи-увелич.и нам.'!X42)</f>
        <v>9</v>
      </c>
      <c r="P42" s="2346">
        <f>$J42+('12.1.Разходи-увелич.и нам.'!Y42+'12.1.Разходи-увелич.и нам.'!Z42)</f>
        <v>9</v>
      </c>
      <c r="Q42" s="2347">
        <f>'12.1.Разходи-увелич.и нам.'!AA42</f>
        <v>7</v>
      </c>
      <c r="R42" s="2348">
        <f>'12.1.Разходи-увелич.и нам.'!AB42</f>
        <v>7</v>
      </c>
      <c r="S42" s="2345">
        <f>$Q42+('12.1.Разходи-увелич.и нам.'!AC42+'12.1.Разходи-увелич.и нам.'!AD42)</f>
        <v>7</v>
      </c>
      <c r="T42" s="2345">
        <f>$Q42+('12.1.Разходи-увелич.и нам.'!AE42+'12.1.Разходи-увелич.и нам.'!AF42)</f>
        <v>7</v>
      </c>
      <c r="U42" s="2345">
        <f>$Q42+('12.1.Разходи-увелич.и нам.'!AG42+'12.1.Разходи-увелич.и нам.'!AH42)</f>
        <v>7</v>
      </c>
      <c r="V42" s="2345">
        <f>$Q42+('12.1.Разходи-увелич.и нам.'!AI42+'12.1.Разходи-увелич.и нам.'!AJ42)</f>
        <v>7</v>
      </c>
      <c r="W42" s="2346">
        <f>$Q42+('12.1.Разходи-увелич.и нам.'!AK42+'12.1.Разходи-увелич.и нам.'!AL42)</f>
        <v>7</v>
      </c>
      <c r="X42" s="2169"/>
      <c r="Y42" s="2169"/>
      <c r="Z42" s="794"/>
      <c r="AA42" s="781"/>
      <c r="AB42" s="781"/>
      <c r="AC42" s="781"/>
      <c r="AD42" s="790"/>
      <c r="AE42" s="357"/>
      <c r="AF42" s="357"/>
      <c r="AG42" s="357"/>
      <c r="AH42" s="357"/>
      <c r="AI42" s="357"/>
      <c r="AJ42" s="357"/>
      <c r="AK42" s="357"/>
      <c r="AL42" s="357"/>
      <c r="AM42" s="357"/>
    </row>
    <row r="43" spans="1:39">
      <c r="A43" s="1042" t="s">
        <v>322</v>
      </c>
      <c r="B43" s="1041" t="s">
        <v>846</v>
      </c>
      <c r="C43" s="2347">
        <f>'12.1.Разходи-увелич.и нам.'!C43</f>
        <v>23</v>
      </c>
      <c r="D43" s="2349">
        <f>'12.1.Разходи-увелич.и нам.'!D43</f>
        <v>23</v>
      </c>
      <c r="E43" s="2350">
        <f>$C43+('12.1.Разходи-увелич.и нам.'!E43+'12.1.Разходи-увелич.и нам.'!F43)</f>
        <v>23</v>
      </c>
      <c r="F43" s="2350">
        <f>$C43+('12.1.Разходи-увелич.и нам.'!G43+'12.1.Разходи-увелич.и нам.'!H43)</f>
        <v>23</v>
      </c>
      <c r="G43" s="2350">
        <f>$C43+('12.1.Разходи-увелич.и нам.'!I43+'12.1.Разходи-увелич.и нам.'!J43)</f>
        <v>23</v>
      </c>
      <c r="H43" s="2350">
        <f>$C43+('12.1.Разходи-увелич.и нам.'!K43+'12.1.Разходи-увелич.и нам.'!L43)</f>
        <v>29</v>
      </c>
      <c r="I43" s="1449">
        <f>$C43+('12.1.Разходи-увелич.и нам.'!M43+'12.1.Разходи-увелич.и нам.'!N43)</f>
        <v>29</v>
      </c>
      <c r="J43" s="2347">
        <f>'12.1.Разходи-увелич.и нам.'!O43</f>
        <v>0</v>
      </c>
      <c r="K43" s="2344">
        <f>'12.1.Разходи-увелич.и нам.'!P43</f>
        <v>0</v>
      </c>
      <c r="L43" s="2345">
        <f>$J43+('12.1.Разходи-увелич.и нам.'!Q43+'12.1.Разходи-увелич.и нам.'!R43)</f>
        <v>0</v>
      </c>
      <c r="M43" s="2345">
        <f>$J43+('12.1.Разходи-увелич.и нам.'!S43+'12.1.Разходи-увелич.и нам.'!T43)</f>
        <v>0</v>
      </c>
      <c r="N43" s="2345">
        <f>$J43+('12.1.Разходи-увелич.и нам.'!U43+'12.1.Разходи-увелич.и нам.'!V43)</f>
        <v>0</v>
      </c>
      <c r="O43" s="2345">
        <f>$J43+('12.1.Разходи-увелич.и нам.'!W43+'12.1.Разходи-увелич.и нам.'!X43)</f>
        <v>0</v>
      </c>
      <c r="P43" s="2346">
        <f>$J43+('12.1.Разходи-увелич.и нам.'!Y43+'12.1.Разходи-увелич.и нам.'!Z43)</f>
        <v>0</v>
      </c>
      <c r="Q43" s="2347">
        <f>'12.1.Разходи-увелич.и нам.'!AA43</f>
        <v>0</v>
      </c>
      <c r="R43" s="2348">
        <f>'12.1.Разходи-увелич.и нам.'!AB43</f>
        <v>0</v>
      </c>
      <c r="S43" s="2345">
        <f>$Q43+('12.1.Разходи-увелич.и нам.'!AC43+'12.1.Разходи-увелич.и нам.'!AD43)</f>
        <v>0</v>
      </c>
      <c r="T43" s="2345">
        <f>$Q43+('12.1.Разходи-увелич.и нам.'!AE43+'12.1.Разходи-увелич.и нам.'!AF43)</f>
        <v>0</v>
      </c>
      <c r="U43" s="2345">
        <f>$Q43+('12.1.Разходи-увелич.и нам.'!AG43+'12.1.Разходи-увелич.и нам.'!AH43)</f>
        <v>0</v>
      </c>
      <c r="V43" s="2345">
        <f>$Q43+('12.1.Разходи-увелич.и нам.'!AI43+'12.1.Разходи-увелич.и нам.'!AJ43)</f>
        <v>0</v>
      </c>
      <c r="W43" s="2346">
        <f>$Q43+('12.1.Разходи-увелич.и нам.'!AK43+'12.1.Разходи-увелич.и нам.'!AL43)</f>
        <v>0</v>
      </c>
      <c r="X43" s="2169"/>
      <c r="Y43" s="2169"/>
      <c r="Z43" s="794"/>
      <c r="AA43" s="781"/>
      <c r="AB43" s="781"/>
      <c r="AC43" s="781"/>
      <c r="AD43" s="790"/>
      <c r="AE43" s="357"/>
      <c r="AF43" s="357"/>
      <c r="AG43" s="357"/>
      <c r="AH43" s="357"/>
      <c r="AI43" s="357"/>
      <c r="AJ43" s="357"/>
      <c r="AK43" s="357"/>
      <c r="AL43" s="357"/>
      <c r="AM43" s="357"/>
    </row>
    <row r="44" spans="1:39">
      <c r="A44" s="1042" t="s">
        <v>324</v>
      </c>
      <c r="B44" s="1041" t="s">
        <v>919</v>
      </c>
      <c r="C44" s="2347">
        <f>'12.1.Разходи-увелич.и нам.'!C44</f>
        <v>35</v>
      </c>
      <c r="D44" s="2349">
        <f>'12.1.Разходи-увелич.и нам.'!D44</f>
        <v>35</v>
      </c>
      <c r="E44" s="2350">
        <f>$C44+('12.1.Разходи-увелич.и нам.'!E44+'12.1.Разходи-увелич.и нам.'!F44)</f>
        <v>35</v>
      </c>
      <c r="F44" s="2350">
        <f>$C44+('12.1.Разходи-увелич.и нам.'!G44+'12.1.Разходи-увелич.и нам.'!H44)</f>
        <v>35</v>
      </c>
      <c r="G44" s="2350">
        <f>$C44+('12.1.Разходи-увелич.и нам.'!I44+'12.1.Разходи-увелич.и нам.'!J44)</f>
        <v>35</v>
      </c>
      <c r="H44" s="2350">
        <f>$C44+('12.1.Разходи-увелич.и нам.'!K44+'12.1.Разходи-увелич.и нам.'!L44)</f>
        <v>46</v>
      </c>
      <c r="I44" s="1449">
        <f>$C44+('12.1.Разходи-увелич.и нам.'!M44+'12.1.Разходи-увелич.и нам.'!N44)</f>
        <v>46</v>
      </c>
      <c r="J44" s="2347">
        <f>'12.1.Разходи-увелич.и нам.'!O44</f>
        <v>1</v>
      </c>
      <c r="K44" s="2344">
        <f>'12.1.Разходи-увелич.и нам.'!P44</f>
        <v>1</v>
      </c>
      <c r="L44" s="2345">
        <f>$J44+('12.1.Разходи-увелич.и нам.'!Q44+'12.1.Разходи-увелич.и нам.'!R44)</f>
        <v>1</v>
      </c>
      <c r="M44" s="2345">
        <f>$J44+('12.1.Разходи-увелич.и нам.'!S44+'12.1.Разходи-увелич.и нам.'!T44)</f>
        <v>1</v>
      </c>
      <c r="N44" s="2345">
        <f>$J44+('12.1.Разходи-увелич.и нам.'!U44+'12.1.Разходи-увелич.и нам.'!V44)</f>
        <v>1</v>
      </c>
      <c r="O44" s="2345">
        <f>$J44+('12.1.Разходи-увелич.и нам.'!W44+'12.1.Разходи-увелич.и нам.'!X44)</f>
        <v>1</v>
      </c>
      <c r="P44" s="2346">
        <f>$J44+('12.1.Разходи-увелич.и нам.'!Y44+'12.1.Разходи-увелич.и нам.'!Z44)</f>
        <v>1</v>
      </c>
      <c r="Q44" s="2347">
        <f>'12.1.Разходи-увелич.и нам.'!AA44</f>
        <v>9</v>
      </c>
      <c r="R44" s="2348">
        <f>'12.1.Разходи-увелич.и нам.'!AB44</f>
        <v>9</v>
      </c>
      <c r="S44" s="2345">
        <f>$Q44+('12.1.Разходи-увелич.и нам.'!AC44+'12.1.Разходи-увелич.и нам.'!AD44)</f>
        <v>9</v>
      </c>
      <c r="T44" s="2345">
        <f>$Q44+('12.1.Разходи-увелич.и нам.'!AE44+'12.1.Разходи-увелич.и нам.'!AF44)</f>
        <v>9</v>
      </c>
      <c r="U44" s="2345">
        <f>$Q44+('12.1.Разходи-увелич.и нам.'!AG44+'12.1.Разходи-увелич.и нам.'!AH44)</f>
        <v>9</v>
      </c>
      <c r="V44" s="2345">
        <f>$Q44+('12.1.Разходи-увелич.и нам.'!AI44+'12.1.Разходи-увелич.и нам.'!AJ44)</f>
        <v>9</v>
      </c>
      <c r="W44" s="2346">
        <f>$Q44+('12.1.Разходи-увелич.и нам.'!AK44+'12.1.Разходи-увелич.и нам.'!AL44)</f>
        <v>9</v>
      </c>
      <c r="X44" s="2169"/>
      <c r="Y44" s="2169"/>
      <c r="Z44" s="794"/>
      <c r="AA44" s="781"/>
      <c r="AB44" s="781"/>
      <c r="AC44" s="781"/>
      <c r="AD44" s="790"/>
      <c r="AE44" s="357"/>
      <c r="AF44" s="357"/>
      <c r="AG44" s="357"/>
      <c r="AH44" s="357"/>
      <c r="AI44" s="357"/>
      <c r="AJ44" s="357"/>
      <c r="AK44" s="357"/>
      <c r="AL44" s="357"/>
      <c r="AM44" s="357"/>
    </row>
    <row r="45" spans="1:39">
      <c r="A45" s="1042" t="s">
        <v>326</v>
      </c>
      <c r="B45" s="1043" t="s">
        <v>619</v>
      </c>
      <c r="C45" s="2347">
        <f>'12.1.Разходи-увелич.и нам.'!C45</f>
        <v>26</v>
      </c>
      <c r="D45" s="2349">
        <f>'12.1.Разходи-увелич.и нам.'!D45</f>
        <v>30</v>
      </c>
      <c r="E45" s="2350">
        <f>$C45+('12.1.Разходи-увелич.и нам.'!E45+'12.1.Разходи-увелич.и нам.'!F45)</f>
        <v>26</v>
      </c>
      <c r="F45" s="2350">
        <f>$C45+('12.1.Разходи-увелич.и нам.'!G45+'12.1.Разходи-увелич.и нам.'!H45)</f>
        <v>26</v>
      </c>
      <c r="G45" s="2350">
        <f>$C45+('12.1.Разходи-увелич.и нам.'!I45+'12.1.Разходи-увелич.и нам.'!J45)</f>
        <v>26</v>
      </c>
      <c r="H45" s="2350">
        <f>$C45+('12.1.Разходи-увелич.и нам.'!K45+'12.1.Разходи-увелич.и нам.'!L45)</f>
        <v>28</v>
      </c>
      <c r="I45" s="1449">
        <f>$C45+('12.1.Разходи-увелич.и нам.'!M45+'12.1.Разходи-увелич.и нам.'!N45)</f>
        <v>28</v>
      </c>
      <c r="J45" s="2347">
        <f>'12.1.Разходи-увелич.и нам.'!O45</f>
        <v>2</v>
      </c>
      <c r="K45" s="2344">
        <f>'12.1.Разходи-увелич.и нам.'!P45</f>
        <v>2</v>
      </c>
      <c r="L45" s="2345">
        <f>$J45+('12.1.Разходи-увелич.и нам.'!Q45+'12.1.Разходи-увелич.и нам.'!R45)</f>
        <v>2</v>
      </c>
      <c r="M45" s="2345">
        <f>$J45+('12.1.Разходи-увелич.и нам.'!S45+'12.1.Разходи-увелич.и нам.'!T45)</f>
        <v>2</v>
      </c>
      <c r="N45" s="2345">
        <f>$J45+('12.1.Разходи-увелич.и нам.'!U45+'12.1.Разходи-увелич.и нам.'!V45)</f>
        <v>2</v>
      </c>
      <c r="O45" s="2345">
        <f>$J45+('12.1.Разходи-увелич.и нам.'!W45+'12.1.Разходи-увелич.и нам.'!X45)</f>
        <v>2</v>
      </c>
      <c r="P45" s="2346">
        <f>$J45+('12.1.Разходи-увелич.и нам.'!Y45+'12.1.Разходи-увелич.и нам.'!Z45)</f>
        <v>2</v>
      </c>
      <c r="Q45" s="2347">
        <f>'12.1.Разходи-увелич.и нам.'!AA45</f>
        <v>6</v>
      </c>
      <c r="R45" s="2348">
        <f>'12.1.Разходи-увелич.и нам.'!AB45</f>
        <v>6</v>
      </c>
      <c r="S45" s="2345">
        <f>$Q45+('12.1.Разходи-увелич.и нам.'!AC45+'12.1.Разходи-увелич.и нам.'!AD45)</f>
        <v>6</v>
      </c>
      <c r="T45" s="2345">
        <f>$Q45+('12.1.Разходи-увелич.и нам.'!AE45+'12.1.Разходи-увелич.и нам.'!AF45)</f>
        <v>6</v>
      </c>
      <c r="U45" s="2345">
        <f>$Q45+('12.1.Разходи-увелич.и нам.'!AG45+'12.1.Разходи-увелич.и нам.'!AH45)</f>
        <v>6</v>
      </c>
      <c r="V45" s="2345">
        <f>$Q45+('12.1.Разходи-увелич.и нам.'!AI45+'12.1.Разходи-увелич.и нам.'!AJ45)</f>
        <v>6</v>
      </c>
      <c r="W45" s="2346">
        <f>$Q45+('12.1.Разходи-увелич.и нам.'!AK45+'12.1.Разходи-увелич.и нам.'!AL45)</f>
        <v>6</v>
      </c>
      <c r="X45" s="2169">
        <v>1</v>
      </c>
      <c r="Y45" s="2169">
        <v>1</v>
      </c>
      <c r="Z45" s="794">
        <v>1</v>
      </c>
      <c r="AA45" s="781">
        <v>1</v>
      </c>
      <c r="AB45" s="781">
        <v>1</v>
      </c>
      <c r="AC45" s="781">
        <v>1</v>
      </c>
      <c r="AD45" s="790">
        <v>1</v>
      </c>
    </row>
    <row r="46" spans="1:39">
      <c r="A46" s="1042" t="s">
        <v>620</v>
      </c>
      <c r="B46" s="1043" t="s">
        <v>859</v>
      </c>
      <c r="C46" s="2347">
        <f>'12.1.Разходи-увелич.и нам.'!C46</f>
        <v>641</v>
      </c>
      <c r="D46" s="2349">
        <f>'12.1.Разходи-увелич.и нам.'!D46</f>
        <v>650</v>
      </c>
      <c r="E46" s="2350">
        <f>$C46+('12.1.Разходи-увелич.и нам.'!E46+'12.1.Разходи-увелич.и нам.'!F46)</f>
        <v>641</v>
      </c>
      <c r="F46" s="2350">
        <f>$C46+('12.1.Разходи-увелич.и нам.'!G46+'12.1.Разходи-увелич.и нам.'!H46)</f>
        <v>641</v>
      </c>
      <c r="G46" s="2350">
        <f>$C46+('12.1.Разходи-увелич.и нам.'!I46+'12.1.Разходи-увелич.и нам.'!J46)</f>
        <v>670</v>
      </c>
      <c r="H46" s="2350">
        <f>$C46+('12.1.Разходи-увелич.и нам.'!K46+'12.1.Разходи-увелич.и нам.'!L46)</f>
        <v>719</v>
      </c>
      <c r="I46" s="1449">
        <f>$C46+('12.1.Разходи-увелич.и нам.'!M46+'12.1.Разходи-увелич.и нам.'!N46)</f>
        <v>719</v>
      </c>
      <c r="J46" s="2347">
        <f>'12.1.Разходи-увелич.и нам.'!O46</f>
        <v>59</v>
      </c>
      <c r="K46" s="2344">
        <f>'12.1.Разходи-увелич.и нам.'!P46</f>
        <v>70</v>
      </c>
      <c r="L46" s="2345">
        <f>$J46+('12.1.Разходи-увелич.и нам.'!Q46+'12.1.Разходи-увелич.и нам.'!R46)</f>
        <v>83.55</v>
      </c>
      <c r="M46" s="2345">
        <f>$J46+('12.1.Разходи-увелич.и нам.'!S46+'12.1.Разходи-увелич.и нам.'!T46)</f>
        <v>84.49</v>
      </c>
      <c r="N46" s="2345">
        <f>$J46+('12.1.Разходи-увелич.и нам.'!U46+'12.1.Разходи-увелич.и нам.'!V46)</f>
        <v>92</v>
      </c>
      <c r="O46" s="2345">
        <f>$J46+('12.1.Разходи-увелич.и нам.'!W46+'12.1.Разходи-увелич.и нам.'!X46)</f>
        <v>109.7</v>
      </c>
      <c r="P46" s="2346">
        <f>$J46+('12.1.Разходи-увелич.и нам.'!Y46+'12.1.Разходи-увелич.и нам.'!Z46)</f>
        <v>109.53999999999999</v>
      </c>
      <c r="Q46" s="2347">
        <f>'12.1.Разходи-увелич.и нам.'!AA46</f>
        <v>27</v>
      </c>
      <c r="R46" s="2348">
        <f>'12.1.Разходи-увелич.и нам.'!AB46</f>
        <v>24</v>
      </c>
      <c r="S46" s="2345">
        <f>$Q46+('12.1.Разходи-увелич.и нам.'!AC46+'12.1.Разходи-увелич.и нам.'!AD46)</f>
        <v>27</v>
      </c>
      <c r="T46" s="2345">
        <f>$Q46+('12.1.Разходи-увелич.и нам.'!AE46+'12.1.Разходи-увелич.и нам.'!AF46)</f>
        <v>27</v>
      </c>
      <c r="U46" s="2345">
        <f>$Q46+('12.1.Разходи-увелич.и нам.'!AG46+'12.1.Разходи-увелич.и нам.'!AH46)</f>
        <v>27</v>
      </c>
      <c r="V46" s="2345">
        <f>$Q46+('12.1.Разходи-увелич.и нам.'!AI46+'12.1.Разходи-увелич.и нам.'!AJ46)</f>
        <v>27</v>
      </c>
      <c r="W46" s="2346">
        <f>$Q46+('12.1.Разходи-увелич.и нам.'!AK46+'12.1.Разходи-увелич.и нам.'!AL46)</f>
        <v>27</v>
      </c>
      <c r="X46" s="2169">
        <v>50</v>
      </c>
      <c r="Y46" s="2169">
        <v>50</v>
      </c>
      <c r="Z46" s="794">
        <v>50</v>
      </c>
      <c r="AA46" s="781">
        <v>50</v>
      </c>
      <c r="AB46" s="781">
        <v>50</v>
      </c>
      <c r="AC46" s="781">
        <v>50</v>
      </c>
      <c r="AD46" s="790">
        <v>50</v>
      </c>
    </row>
    <row r="47" spans="1:39">
      <c r="A47" s="1042" t="s">
        <v>811</v>
      </c>
      <c r="B47" s="1041" t="s">
        <v>847</v>
      </c>
      <c r="C47" s="2347">
        <f>'12.1.Разходи-увелич.и нам.'!C47</f>
        <v>0</v>
      </c>
      <c r="D47" s="2349">
        <f>'12.1.Разходи-увелич.и нам.'!D47</f>
        <v>0</v>
      </c>
      <c r="E47" s="2350">
        <f>$C47+('12.1.Разходи-увелич.и нам.'!E47+'12.1.Разходи-увелич.и нам.'!F47)</f>
        <v>0</v>
      </c>
      <c r="F47" s="2350">
        <f>$C47+('12.1.Разходи-увелич.и нам.'!G47+'12.1.Разходи-увелич.и нам.'!H47)</f>
        <v>0</v>
      </c>
      <c r="G47" s="2350">
        <f>$C47+('12.1.Разходи-увелич.и нам.'!I47+'12.1.Разходи-увелич.и нам.'!J47)</f>
        <v>0</v>
      </c>
      <c r="H47" s="2350">
        <f>$C47+('12.1.Разходи-увелич.и нам.'!K47+'12.1.Разходи-увелич.и нам.'!L47)</f>
        <v>0</v>
      </c>
      <c r="I47" s="1449">
        <f>$C47+('12.1.Разходи-увелич.и нам.'!M47+'12.1.Разходи-увелич.и нам.'!N47)</f>
        <v>0</v>
      </c>
      <c r="J47" s="2347">
        <f>'12.1.Разходи-увелич.и нам.'!O47</f>
        <v>0</v>
      </c>
      <c r="K47" s="2344">
        <f>'12.1.Разходи-увелич.и нам.'!P47</f>
        <v>0</v>
      </c>
      <c r="L47" s="2345">
        <f>$J47+('12.1.Разходи-увелич.и нам.'!Q47+'12.1.Разходи-увелич.и нам.'!R47)</f>
        <v>0</v>
      </c>
      <c r="M47" s="2345">
        <f>$J47+('12.1.Разходи-увелич.и нам.'!S47+'12.1.Разходи-увелич.и нам.'!T47)</f>
        <v>0</v>
      </c>
      <c r="N47" s="2345">
        <f>$J47+('12.1.Разходи-увелич.и нам.'!U47+'12.1.Разходи-увелич.и нам.'!V47)</f>
        <v>0</v>
      </c>
      <c r="O47" s="2345">
        <f>$J47+('12.1.Разходи-увелич.и нам.'!W47+'12.1.Разходи-увелич.и нам.'!X47)</f>
        <v>0</v>
      </c>
      <c r="P47" s="2346">
        <f>$J47+('12.1.Разходи-увелич.и нам.'!Y47+'12.1.Разходи-увелич.и нам.'!Z47)</f>
        <v>0</v>
      </c>
      <c r="Q47" s="2347">
        <f>'12.1.Разходи-увелич.и нам.'!AA47</f>
        <v>20</v>
      </c>
      <c r="R47" s="2348">
        <f>'12.1.Разходи-увелич.и нам.'!AB47</f>
        <v>0</v>
      </c>
      <c r="S47" s="2345">
        <f>$Q47+('12.1.Разходи-увелич.и нам.'!AC47+'12.1.Разходи-увелич.и нам.'!AD47)</f>
        <v>0</v>
      </c>
      <c r="T47" s="2345">
        <f>$Q47+('12.1.Разходи-увелич.и нам.'!AE47+'12.1.Разходи-увелич.и нам.'!AF47)</f>
        <v>0</v>
      </c>
      <c r="U47" s="2345">
        <f>$Q47+('12.1.Разходи-увелич.и нам.'!AG47+'12.1.Разходи-увелич.и нам.'!AH47)</f>
        <v>0</v>
      </c>
      <c r="V47" s="2345">
        <f>$Q47+('12.1.Разходи-увелич.и нам.'!AI47+'12.1.Разходи-увелич.и нам.'!AJ47)</f>
        <v>0</v>
      </c>
      <c r="W47" s="2346">
        <f>$Q47+('12.1.Разходи-увелич.и нам.'!AK47+'12.1.Разходи-увелич.и нам.'!AL47)</f>
        <v>0</v>
      </c>
      <c r="X47" s="2169"/>
      <c r="Y47" s="2169"/>
      <c r="Z47" s="794"/>
      <c r="AA47" s="781"/>
      <c r="AB47" s="781"/>
      <c r="AC47" s="781"/>
      <c r="AD47" s="790"/>
    </row>
    <row r="48" spans="1:39">
      <c r="A48" s="1094" t="s">
        <v>918</v>
      </c>
      <c r="B48" s="1043" t="s">
        <v>1000</v>
      </c>
      <c r="C48" s="2347">
        <f>'12.1.Разходи-увелич.и нам.'!C48</f>
        <v>0</v>
      </c>
      <c r="D48" s="2349">
        <f>'12.1.Разходи-увелич.и нам.'!D48</f>
        <v>0</v>
      </c>
      <c r="E48" s="2350">
        <f>$C48+('12.1.Разходи-увелич.и нам.'!E48+'12.1.Разходи-увелич.и нам.'!F48)</f>
        <v>0</v>
      </c>
      <c r="F48" s="2350">
        <f>$C48+('12.1.Разходи-увелич.и нам.'!G48+'12.1.Разходи-увелич.и нам.'!H48)</f>
        <v>0</v>
      </c>
      <c r="G48" s="2350">
        <f>$C48+('12.1.Разходи-увелич.и нам.'!I48+'12.1.Разходи-увелич.и нам.'!J48)</f>
        <v>0</v>
      </c>
      <c r="H48" s="2350">
        <f>$C48+('12.1.Разходи-увелич.и нам.'!K48+'12.1.Разходи-увелич.и нам.'!L48)</f>
        <v>0</v>
      </c>
      <c r="I48" s="1449">
        <f>$C48+('12.1.Разходи-увелич.и нам.'!M48+'12.1.Разходи-увелич.и нам.'!N48)</f>
        <v>0</v>
      </c>
      <c r="J48" s="2347">
        <f>'12.1.Разходи-увелич.и нам.'!O48</f>
        <v>0</v>
      </c>
      <c r="K48" s="2344">
        <f>'12.1.Разходи-увелич.и нам.'!P48</f>
        <v>0</v>
      </c>
      <c r="L48" s="2345">
        <f>$J48+('12.1.Разходи-увелич.и нам.'!Q48+'12.1.Разходи-увелич.и нам.'!R48)</f>
        <v>0</v>
      </c>
      <c r="M48" s="2345">
        <f>$J48+('12.1.Разходи-увелич.и нам.'!S48+'12.1.Разходи-увелич.и нам.'!T48)</f>
        <v>0</v>
      </c>
      <c r="N48" s="2345">
        <f>$J48+('12.1.Разходи-увелич.и нам.'!U48+'12.1.Разходи-увелич.и нам.'!V48)</f>
        <v>0</v>
      </c>
      <c r="O48" s="2345">
        <f>$J48+('12.1.Разходи-увелич.и нам.'!W48+'12.1.Разходи-увелич.и нам.'!X48)</f>
        <v>0</v>
      </c>
      <c r="P48" s="2346">
        <f>$J48+('12.1.Разходи-увелич.и нам.'!Y48+'12.1.Разходи-увелич.и нам.'!Z48)</f>
        <v>0</v>
      </c>
      <c r="Q48" s="2347">
        <f>'12.1.Разходи-увелич.и нам.'!AA48</f>
        <v>0</v>
      </c>
      <c r="R48" s="2348">
        <f>'12.1.Разходи-увелич.и нам.'!AB48</f>
        <v>0</v>
      </c>
      <c r="S48" s="2345">
        <f>$Q48+('12.1.Разходи-увелич.и нам.'!AC48+'12.1.Разходи-увелич.и нам.'!AD48)</f>
        <v>0</v>
      </c>
      <c r="T48" s="2345">
        <f>$Q48+('12.1.Разходи-увелич.и нам.'!AE48+'12.1.Разходи-увелич.и нам.'!AF48)</f>
        <v>0</v>
      </c>
      <c r="U48" s="2345">
        <f>$Q48+('12.1.Разходи-увелич.и нам.'!AG48+'12.1.Разходи-увелич.и нам.'!AH48)</f>
        <v>0</v>
      </c>
      <c r="V48" s="2345">
        <f>$Q48+('12.1.Разходи-увелич.и нам.'!AI48+'12.1.Разходи-увелич.и нам.'!AJ48)</f>
        <v>0</v>
      </c>
      <c r="W48" s="2346">
        <f>$Q48+('12.1.Разходи-увелич.и нам.'!AK48+'12.1.Разходи-увелич.и нам.'!AL48)</f>
        <v>0</v>
      </c>
      <c r="X48" s="2169"/>
      <c r="Y48" s="2169"/>
      <c r="Z48" s="794"/>
      <c r="AA48" s="781"/>
      <c r="AB48" s="781"/>
      <c r="AC48" s="781"/>
      <c r="AD48" s="790"/>
    </row>
    <row r="49" spans="1:39">
      <c r="A49" s="1094" t="s">
        <v>1001</v>
      </c>
      <c r="B49" s="1043" t="s">
        <v>621</v>
      </c>
      <c r="C49" s="1093">
        <f>SUM(C50:C52)</f>
        <v>71</v>
      </c>
      <c r="D49" s="1087">
        <f t="shared" ref="D49:AD49" si="9">SUM(D50:D52)</f>
        <v>70</v>
      </c>
      <c r="E49" s="1088">
        <f t="shared" si="9"/>
        <v>71</v>
      </c>
      <c r="F49" s="1089">
        <f t="shared" si="9"/>
        <v>71</v>
      </c>
      <c r="G49" s="1089">
        <f t="shared" si="9"/>
        <v>72</v>
      </c>
      <c r="H49" s="1089">
        <f t="shared" si="9"/>
        <v>89</v>
      </c>
      <c r="I49" s="1090">
        <f t="shared" si="9"/>
        <v>89</v>
      </c>
      <c r="J49" s="1093">
        <f t="shared" si="9"/>
        <v>18</v>
      </c>
      <c r="K49" s="1087">
        <f t="shared" si="9"/>
        <v>15</v>
      </c>
      <c r="L49" s="1088">
        <f t="shared" si="9"/>
        <v>18</v>
      </c>
      <c r="M49" s="1089">
        <f t="shared" si="9"/>
        <v>18</v>
      </c>
      <c r="N49" s="1089">
        <f t="shared" si="9"/>
        <v>18</v>
      </c>
      <c r="O49" s="1089">
        <f t="shared" si="9"/>
        <v>20</v>
      </c>
      <c r="P49" s="1090">
        <f t="shared" si="9"/>
        <v>20</v>
      </c>
      <c r="Q49" s="1093">
        <f t="shared" si="9"/>
        <v>10</v>
      </c>
      <c r="R49" s="1087">
        <f t="shared" si="9"/>
        <v>12</v>
      </c>
      <c r="S49" s="1088">
        <f t="shared" si="9"/>
        <v>10</v>
      </c>
      <c r="T49" s="1089">
        <f t="shared" si="9"/>
        <v>10</v>
      </c>
      <c r="U49" s="1089">
        <f t="shared" si="9"/>
        <v>10</v>
      </c>
      <c r="V49" s="1089">
        <f t="shared" si="9"/>
        <v>10</v>
      </c>
      <c r="W49" s="1090">
        <f t="shared" si="9"/>
        <v>10</v>
      </c>
      <c r="X49" s="1087">
        <f t="shared" si="9"/>
        <v>269</v>
      </c>
      <c r="Y49" s="1087">
        <f t="shared" si="9"/>
        <v>260</v>
      </c>
      <c r="Z49" s="1088">
        <f t="shared" si="9"/>
        <v>260</v>
      </c>
      <c r="AA49" s="1089">
        <f t="shared" si="9"/>
        <v>260</v>
      </c>
      <c r="AB49" s="1089">
        <f t="shared" si="9"/>
        <v>260</v>
      </c>
      <c r="AC49" s="1089">
        <f t="shared" si="9"/>
        <v>260</v>
      </c>
      <c r="AD49" s="1090">
        <f t="shared" si="9"/>
        <v>260</v>
      </c>
    </row>
    <row r="50" spans="1:39" s="359" customFormat="1">
      <c r="A50" s="487" t="s">
        <v>1002</v>
      </c>
      <c r="B50" s="781"/>
      <c r="C50" s="2681">
        <f>'12.1.Разходи-увелич.и нам.'!C50</f>
        <v>71</v>
      </c>
      <c r="D50" s="2344">
        <f>'12.1.Разходи-увелич.и нам.'!D50</f>
        <v>70</v>
      </c>
      <c r="E50" s="2345">
        <f>$C50+('12.1.Разходи-увелич.и нам.'!E50+'12.1.Разходи-увелич.и нам.'!F50)</f>
        <v>71</v>
      </c>
      <c r="F50" s="2345">
        <f>$C50+('12.1.Разходи-увелич.и нам.'!G50+'12.1.Разходи-увелич.и нам.'!H50)</f>
        <v>71</v>
      </c>
      <c r="G50" s="2345">
        <f>$C50+('12.1.Разходи-увелич.и нам.'!I50+'12.1.Разходи-увелич.и нам.'!J50)</f>
        <v>72</v>
      </c>
      <c r="H50" s="2345">
        <f>$C50+('12.1.Разходи-увелич.и нам.'!K50+'12.1.Разходи-увелич.и нам.'!L50)</f>
        <v>89</v>
      </c>
      <c r="I50" s="2346">
        <f>$C50+('12.1.Разходи-увелич.и нам.'!M50+'12.1.Разходи-увелич.и нам.'!N50)</f>
        <v>89</v>
      </c>
      <c r="J50" s="2347">
        <f>'12.1.Разходи-увелич.и нам.'!O50</f>
        <v>18</v>
      </c>
      <c r="K50" s="2344">
        <f>'12.1.Разходи-увелич.и нам.'!P50</f>
        <v>15</v>
      </c>
      <c r="L50" s="2345">
        <f>$J50+('12.1.Разходи-увелич.и нам.'!Q50+'12.1.Разходи-увелич.и нам.'!R50)</f>
        <v>18</v>
      </c>
      <c r="M50" s="2345">
        <f>$J50+('12.1.Разходи-увелич.и нам.'!S50+'12.1.Разходи-увелич.и нам.'!T50)</f>
        <v>18</v>
      </c>
      <c r="N50" s="2345">
        <f>$J50+('12.1.Разходи-увелич.и нам.'!U50+'12.1.Разходи-увелич.и нам.'!V50)</f>
        <v>18</v>
      </c>
      <c r="O50" s="2345">
        <f>$J50+('12.1.Разходи-увелич.и нам.'!W50+'12.1.Разходи-увелич.и нам.'!X50)</f>
        <v>20</v>
      </c>
      <c r="P50" s="2346">
        <f>$J50+('12.1.Разходи-увелич.и нам.'!Y50+'12.1.Разходи-увелич.и нам.'!Z50)</f>
        <v>20</v>
      </c>
      <c r="Q50" s="2347">
        <f>'12.1.Разходи-увелич.и нам.'!AA50</f>
        <v>10</v>
      </c>
      <c r="R50" s="2348">
        <f>'12.1.Разходи-увелич.и нам.'!AB50</f>
        <v>12</v>
      </c>
      <c r="S50" s="2345">
        <f>$Q50+('12.1.Разходи-увелич.и нам.'!AC50+'12.1.Разходи-увелич.и нам.'!AD50)</f>
        <v>10</v>
      </c>
      <c r="T50" s="2345">
        <f>$Q50+('12.1.Разходи-увелич.и нам.'!AE50+'12.1.Разходи-увелич.и нам.'!AF50)</f>
        <v>10</v>
      </c>
      <c r="U50" s="2345">
        <f>$Q50+('12.1.Разходи-увелич.и нам.'!AG50+'12.1.Разходи-увелич.и нам.'!AH50)</f>
        <v>10</v>
      </c>
      <c r="V50" s="2345">
        <f>$Q50+('12.1.Разходи-увелич.и нам.'!AI50+'12.1.Разходи-увелич.и нам.'!AJ50)</f>
        <v>10</v>
      </c>
      <c r="W50" s="2346">
        <f>$Q50+('12.1.Разходи-увелич.и нам.'!AK50+'12.1.Разходи-увелич.и нам.'!AL50)</f>
        <v>10</v>
      </c>
      <c r="X50" s="2169">
        <v>269</v>
      </c>
      <c r="Y50" s="2169">
        <v>260</v>
      </c>
      <c r="Z50" s="794">
        <v>260</v>
      </c>
      <c r="AA50" s="781">
        <v>260</v>
      </c>
      <c r="AB50" s="781">
        <v>260</v>
      </c>
      <c r="AC50" s="781">
        <v>260</v>
      </c>
      <c r="AD50" s="790">
        <v>260</v>
      </c>
      <c r="AE50" s="357"/>
      <c r="AF50" s="357"/>
      <c r="AG50" s="357"/>
      <c r="AH50" s="357"/>
      <c r="AI50" s="357"/>
      <c r="AJ50" s="357"/>
      <c r="AK50" s="357"/>
      <c r="AL50" s="357"/>
      <c r="AM50" s="357"/>
    </row>
    <row r="51" spans="1:39" s="359" customFormat="1">
      <c r="A51" s="488" t="s">
        <v>1003</v>
      </c>
      <c r="B51" s="781"/>
      <c r="C51" s="2681">
        <f>'12.1.Разходи-увелич.и нам.'!C51</f>
        <v>0</v>
      </c>
      <c r="D51" s="2344">
        <f>'12.1.Разходи-увелич.и нам.'!D51</f>
        <v>0</v>
      </c>
      <c r="E51" s="2345">
        <f>$C51+('12.1.Разходи-увелич.и нам.'!E51+'12.1.Разходи-увелич.и нам.'!F51)</f>
        <v>0</v>
      </c>
      <c r="F51" s="2345">
        <f>$C51+('12.1.Разходи-увелич.и нам.'!G51+'12.1.Разходи-увелич.и нам.'!H51)</f>
        <v>0</v>
      </c>
      <c r="G51" s="2345">
        <f>$C51+('12.1.Разходи-увелич.и нам.'!I51+'12.1.Разходи-увелич.и нам.'!J51)</f>
        <v>0</v>
      </c>
      <c r="H51" s="2345">
        <f>$C51+('12.1.Разходи-увелич.и нам.'!K51+'12.1.Разходи-увелич.и нам.'!L51)</f>
        <v>0</v>
      </c>
      <c r="I51" s="2346">
        <f>$C51+('12.1.Разходи-увелич.и нам.'!M51+'12.1.Разходи-увелич.и нам.'!N51)</f>
        <v>0</v>
      </c>
      <c r="J51" s="2347">
        <f>'12.1.Разходи-увелич.и нам.'!O51</f>
        <v>0</v>
      </c>
      <c r="K51" s="2344">
        <f>'12.1.Разходи-увелич.и нам.'!P51</f>
        <v>0</v>
      </c>
      <c r="L51" s="2345">
        <f>$J51+('12.1.Разходи-увелич.и нам.'!Q51+'12.1.Разходи-увелич.и нам.'!R51)</f>
        <v>0</v>
      </c>
      <c r="M51" s="2345">
        <f>$J51+('12.1.Разходи-увелич.и нам.'!S51+'12.1.Разходи-увелич.и нам.'!T51)</f>
        <v>0</v>
      </c>
      <c r="N51" s="2345">
        <f>$J51+('12.1.Разходи-увелич.и нам.'!U51+'12.1.Разходи-увелич.и нам.'!V51)</f>
        <v>0</v>
      </c>
      <c r="O51" s="2345">
        <f>$J51+('12.1.Разходи-увелич.и нам.'!W51+'12.1.Разходи-увелич.и нам.'!X51)</f>
        <v>0</v>
      </c>
      <c r="P51" s="2346">
        <f>$J51+('12.1.Разходи-увелич.и нам.'!Y51+'12.1.Разходи-увелич.и нам.'!Z51)</f>
        <v>0</v>
      </c>
      <c r="Q51" s="2347">
        <f>'12.1.Разходи-увелич.и нам.'!AA51</f>
        <v>0</v>
      </c>
      <c r="R51" s="2348">
        <f>'12.1.Разходи-увелич.и нам.'!AB51</f>
        <v>0</v>
      </c>
      <c r="S51" s="2345">
        <f>$Q51+('12.1.Разходи-увелич.и нам.'!AC51+'12.1.Разходи-увелич.и нам.'!AD51)</f>
        <v>0</v>
      </c>
      <c r="T51" s="2345">
        <f>$Q51+('12.1.Разходи-увелич.и нам.'!AE51+'12.1.Разходи-увелич.и нам.'!AF51)</f>
        <v>0</v>
      </c>
      <c r="U51" s="2345">
        <f>$Q51+('12.1.Разходи-увелич.и нам.'!AG51+'12.1.Разходи-увелич.и нам.'!AH51)</f>
        <v>0</v>
      </c>
      <c r="V51" s="2345">
        <f>$Q51+('12.1.Разходи-увелич.и нам.'!AI51+'12.1.Разходи-увелич.и нам.'!AJ51)</f>
        <v>0</v>
      </c>
      <c r="W51" s="2346">
        <f>$Q51+('12.1.Разходи-увелич.и нам.'!AK51+'12.1.Разходи-увелич.и нам.'!AL51)</f>
        <v>0</v>
      </c>
      <c r="X51" s="2169"/>
      <c r="Y51" s="2169"/>
      <c r="Z51" s="794"/>
      <c r="AA51" s="781"/>
      <c r="AB51" s="781"/>
      <c r="AC51" s="781"/>
      <c r="AD51" s="790"/>
      <c r="AE51" s="357"/>
      <c r="AF51" s="357"/>
      <c r="AG51" s="357"/>
      <c r="AH51" s="357"/>
      <c r="AI51" s="357"/>
      <c r="AJ51" s="357"/>
      <c r="AK51" s="357"/>
      <c r="AL51" s="357"/>
      <c r="AM51" s="357"/>
    </row>
    <row r="52" spans="1:39" s="359" customFormat="1" ht="15.75" thickBot="1">
      <c r="A52" s="1058" t="s">
        <v>1004</v>
      </c>
      <c r="B52" s="781"/>
      <c r="C52" s="2681">
        <f>'12.1.Разходи-увелич.и нам.'!C52</f>
        <v>0</v>
      </c>
      <c r="D52" s="2344">
        <f>'12.1.Разходи-увелич.и нам.'!D52</f>
        <v>0</v>
      </c>
      <c r="E52" s="2345">
        <f>$C52+('12.1.Разходи-увелич.и нам.'!E52+'12.1.Разходи-увелич.и нам.'!F52)</f>
        <v>0</v>
      </c>
      <c r="F52" s="2345">
        <f>$C52+('12.1.Разходи-увелич.и нам.'!G52+'12.1.Разходи-увелич.и нам.'!H52)</f>
        <v>0</v>
      </c>
      <c r="G52" s="2345">
        <f>$C52+('12.1.Разходи-увелич.и нам.'!I52+'12.1.Разходи-увелич.и нам.'!J52)</f>
        <v>0</v>
      </c>
      <c r="H52" s="2345">
        <f>$C52+('12.1.Разходи-увелич.и нам.'!K52+'12.1.Разходи-увелич.и нам.'!L52)</f>
        <v>0</v>
      </c>
      <c r="I52" s="2346">
        <f>$C52+('12.1.Разходи-увелич.и нам.'!M52+'12.1.Разходи-увелич.и нам.'!N52)</f>
        <v>0</v>
      </c>
      <c r="J52" s="2347">
        <f>'12.1.Разходи-увелич.и нам.'!O52</f>
        <v>0</v>
      </c>
      <c r="K52" s="2344">
        <f>'12.1.Разходи-увелич.и нам.'!P52</f>
        <v>0</v>
      </c>
      <c r="L52" s="2345">
        <f>$J52+('12.1.Разходи-увелич.и нам.'!Q52+'12.1.Разходи-увелич.и нам.'!R52)</f>
        <v>0</v>
      </c>
      <c r="M52" s="2345">
        <f>$J52+('12.1.Разходи-увелич.и нам.'!S52+'12.1.Разходи-увелич.и нам.'!T52)</f>
        <v>0</v>
      </c>
      <c r="N52" s="2345">
        <f>$J52+('12.1.Разходи-увелич.и нам.'!U52+'12.1.Разходи-увелич.и нам.'!V52)</f>
        <v>0</v>
      </c>
      <c r="O52" s="2345">
        <f>$J52+('12.1.Разходи-увелич.и нам.'!W52+'12.1.Разходи-увелич.и нам.'!X52)</f>
        <v>0</v>
      </c>
      <c r="P52" s="2346">
        <f>$J52+('12.1.Разходи-увелич.и нам.'!Y52+'12.1.Разходи-увелич.и нам.'!Z52)</f>
        <v>0</v>
      </c>
      <c r="Q52" s="2347">
        <f>'12.1.Разходи-увелич.и нам.'!AA52</f>
        <v>0</v>
      </c>
      <c r="R52" s="2348">
        <f>'12.1.Разходи-увелич.и нам.'!AB52</f>
        <v>0</v>
      </c>
      <c r="S52" s="2345">
        <f>$Q52+('12.1.Разходи-увелич.и нам.'!AC52+'12.1.Разходи-увелич.и нам.'!AD52)</f>
        <v>0</v>
      </c>
      <c r="T52" s="2345">
        <f>$Q52+('12.1.Разходи-увелич.и нам.'!AE52+'12.1.Разходи-увелич.и нам.'!AF52)</f>
        <v>0</v>
      </c>
      <c r="U52" s="2345">
        <f>$Q52+('12.1.Разходи-увелич.и нам.'!AG52+'12.1.Разходи-увелич.и нам.'!AH52)</f>
        <v>0</v>
      </c>
      <c r="V52" s="2345">
        <f>$Q52+('12.1.Разходи-увелич.и нам.'!AI52+'12.1.Разходи-увелич.и нам.'!AJ52)</f>
        <v>0</v>
      </c>
      <c r="W52" s="2346">
        <f>$Q52+('12.1.Разходи-увелич.и нам.'!AK52+'12.1.Разходи-увелич.и нам.'!AL52)</f>
        <v>0</v>
      </c>
      <c r="X52" s="2169"/>
      <c r="Y52" s="2169"/>
      <c r="Z52" s="794"/>
      <c r="AA52" s="781"/>
      <c r="AB52" s="781"/>
      <c r="AC52" s="781"/>
      <c r="AD52" s="790"/>
      <c r="AE52" s="357"/>
      <c r="AF52" s="357"/>
      <c r="AG52" s="357"/>
      <c r="AH52" s="357"/>
      <c r="AI52" s="357"/>
      <c r="AJ52" s="357"/>
      <c r="AK52" s="357"/>
      <c r="AL52" s="357"/>
      <c r="AM52" s="357"/>
    </row>
    <row r="53" spans="1:39" ht="15.75" thickBot="1">
      <c r="A53" s="1059">
        <v>3</v>
      </c>
      <c r="B53" s="1060" t="s">
        <v>622</v>
      </c>
      <c r="C53" s="1990">
        <f>SUM(C54:C56)</f>
        <v>1322</v>
      </c>
      <c r="D53" s="1052">
        <f>SUM(D54:D56)</f>
        <v>2104.65</v>
      </c>
      <c r="E53" s="1076">
        <f t="shared" ref="E53:AD53" si="10">SUM(E54:E56)</f>
        <v>1643.7405012941017</v>
      </c>
      <c r="F53" s="1077">
        <f t="shared" si="10"/>
        <v>2221.7599916649301</v>
      </c>
      <c r="G53" s="1077">
        <f t="shared" si="10"/>
        <v>2300.0417868967515</v>
      </c>
      <c r="H53" s="1077">
        <f t="shared" si="10"/>
        <v>2648.8905132355135</v>
      </c>
      <c r="I53" s="1233">
        <f t="shared" si="10"/>
        <v>2472.5566109615975</v>
      </c>
      <c r="J53" s="1990">
        <f t="shared" si="10"/>
        <v>64</v>
      </c>
      <c r="K53" s="1052">
        <f t="shared" si="10"/>
        <v>193.94</v>
      </c>
      <c r="L53" s="1096">
        <f t="shared" si="10"/>
        <v>115.41649502792536</v>
      </c>
      <c r="M53" s="1077">
        <f t="shared" si="10"/>
        <v>334.05984538445506</v>
      </c>
      <c r="N53" s="1077">
        <f t="shared" si="10"/>
        <v>812.36557742481807</v>
      </c>
      <c r="O53" s="1096">
        <f t="shared" si="10"/>
        <v>1109.6506921225803</v>
      </c>
      <c r="P53" s="1078">
        <f t="shared" si="10"/>
        <v>1096.7101395581196</v>
      </c>
      <c r="Q53" s="1990">
        <f t="shared" si="10"/>
        <v>3.419999999999999</v>
      </c>
      <c r="R53" s="1052">
        <f t="shared" si="10"/>
        <v>154.52000000000001</v>
      </c>
      <c r="S53" s="1096">
        <f t="shared" si="10"/>
        <v>41.213003677973035</v>
      </c>
      <c r="T53" s="1077">
        <f t="shared" si="10"/>
        <v>178.0701629506147</v>
      </c>
      <c r="U53" s="1077">
        <f t="shared" si="10"/>
        <v>121.48763567843029</v>
      </c>
      <c r="V53" s="1079">
        <f t="shared" si="10"/>
        <v>78.718794641906413</v>
      </c>
      <c r="W53" s="1078">
        <f t="shared" si="10"/>
        <v>81.203249480282977</v>
      </c>
      <c r="X53" s="1052">
        <f t="shared" si="10"/>
        <v>3</v>
      </c>
      <c r="Y53" s="1052">
        <f t="shared" si="10"/>
        <v>3</v>
      </c>
      <c r="Z53" s="1076">
        <f t="shared" si="10"/>
        <v>3</v>
      </c>
      <c r="AA53" s="1077">
        <f t="shared" si="10"/>
        <v>3</v>
      </c>
      <c r="AB53" s="1077">
        <f t="shared" si="10"/>
        <v>3</v>
      </c>
      <c r="AC53" s="1077">
        <f t="shared" si="10"/>
        <v>3</v>
      </c>
      <c r="AD53" s="1078">
        <f t="shared" si="10"/>
        <v>3</v>
      </c>
      <c r="AE53" s="357"/>
      <c r="AF53" s="357"/>
      <c r="AG53" s="357"/>
      <c r="AH53" s="357"/>
      <c r="AI53" s="357"/>
      <c r="AJ53" s="357"/>
      <c r="AK53" s="357"/>
      <c r="AL53" s="357"/>
      <c r="AM53" s="357"/>
    </row>
    <row r="54" spans="1:39">
      <c r="A54" s="1063" t="s">
        <v>327</v>
      </c>
      <c r="B54" s="1062" t="s">
        <v>623</v>
      </c>
      <c r="C54" s="2351">
        <f>'11. Амортиз. план'!E34</f>
        <v>222</v>
      </c>
      <c r="D54" s="2352">
        <f>'11. Амортиз. план'!F34</f>
        <v>286.09000000000003</v>
      </c>
      <c r="E54" s="2353">
        <f>'11. Амортиз. план'!G34</f>
        <v>294.22913227080784</v>
      </c>
      <c r="F54" s="2354">
        <f>'11. Амортиз. план'!H34</f>
        <v>306.12444259220666</v>
      </c>
      <c r="G54" s="2354">
        <f>'11. Амортиз. план'!I34</f>
        <v>297.39518484612688</v>
      </c>
      <c r="H54" s="2354">
        <f>'11. Амортиз. план'!J34</f>
        <v>311.85601976276178</v>
      </c>
      <c r="I54" s="2355">
        <f>'11. Амортиз. план'!K34</f>
        <v>341.44410503924053</v>
      </c>
      <c r="J54" s="2351">
        <f>'11. Амортиз. план'!L34</f>
        <v>64</v>
      </c>
      <c r="K54" s="2352">
        <f>'11. Амортиз. план'!M34</f>
        <v>69.05</v>
      </c>
      <c r="L54" s="2353">
        <f>'11. Амортиз. план'!N34</f>
        <v>109.3970181174227</v>
      </c>
      <c r="M54" s="2354">
        <f>'11. Амортиз. план'!O34</f>
        <v>149.11041008543444</v>
      </c>
      <c r="N54" s="2354">
        <f>'11. Амортиз. план'!P34</f>
        <v>150.14196960681102</v>
      </c>
      <c r="O54" s="2354">
        <f>'11. Амортиз. план'!Q34</f>
        <v>157.89243329003139</v>
      </c>
      <c r="P54" s="2355">
        <f>'11. Амортиз. план'!R34</f>
        <v>162.35932025848865</v>
      </c>
      <c r="Q54" s="2351">
        <f>'11. Амортиз. план'!S34</f>
        <v>3.419999999999999</v>
      </c>
      <c r="R54" s="2352">
        <f>'11. Амортиз. план'!T34</f>
        <v>4.6199999999999992</v>
      </c>
      <c r="S54" s="2353">
        <f>'11. Амортиз. план'!U34</f>
        <v>7.1738496117695165</v>
      </c>
      <c r="T54" s="2354">
        <f>'11. Амортиз. план'!V34</f>
        <v>15.755147322358829</v>
      </c>
      <c r="U54" s="2354">
        <f>'11. Амортиз. план'!W34</f>
        <v>26.352845547062138</v>
      </c>
      <c r="V54" s="2354">
        <f>'11. Амортиз. план'!X34</f>
        <v>30.021546947207007</v>
      </c>
      <c r="W54" s="2355">
        <f>'11. Амортиз. план'!Y34</f>
        <v>33.596574702270637</v>
      </c>
      <c r="X54" s="2169">
        <v>3</v>
      </c>
      <c r="Y54" s="2169">
        <v>3</v>
      </c>
      <c r="Z54" s="794">
        <v>3</v>
      </c>
      <c r="AA54" s="781">
        <v>3</v>
      </c>
      <c r="AB54" s="781">
        <v>3</v>
      </c>
      <c r="AC54" s="781">
        <v>3</v>
      </c>
      <c r="AD54" s="790">
        <v>3</v>
      </c>
      <c r="AE54" s="350"/>
      <c r="AF54" s="350"/>
      <c r="AG54" s="350"/>
      <c r="AH54" s="350"/>
      <c r="AI54" s="350"/>
      <c r="AJ54" s="350"/>
      <c r="AK54" s="350"/>
      <c r="AL54" s="350"/>
      <c r="AM54" s="350"/>
    </row>
    <row r="55" spans="1:39" ht="24">
      <c r="A55" s="1095" t="s">
        <v>328</v>
      </c>
      <c r="B55" s="1062" t="s">
        <v>1005</v>
      </c>
      <c r="C55" s="2356">
        <f>'11. Амортиз. план'!E130</f>
        <v>0</v>
      </c>
      <c r="D55" s="2357">
        <f>'11. Амортиз. план'!F130</f>
        <v>28.560000000000002</v>
      </c>
      <c r="E55" s="2358">
        <f>'11. Амортиз. план'!G130</f>
        <v>82.511369023293824</v>
      </c>
      <c r="F55" s="2359">
        <f>'11. Амортиз. план'!H130</f>
        <v>144.13554907272351</v>
      </c>
      <c r="G55" s="2359">
        <f>'11. Амортиз. план'!I130</f>
        <v>229.14660205062484</v>
      </c>
      <c r="H55" s="2359">
        <f>'11. Амортиз. план'!J130</f>
        <v>335.03449347275171</v>
      </c>
      <c r="I55" s="2360">
        <f>'11. Амортиз. план'!K130</f>
        <v>446.61250592235672</v>
      </c>
      <c r="J55" s="2356">
        <f>'11. Амортиз. план'!L130</f>
        <v>0</v>
      </c>
      <c r="K55" s="2357">
        <f>'11. Амортиз. план'!M130</f>
        <v>2.89</v>
      </c>
      <c r="L55" s="2358">
        <f>'11. Амортиз. план'!N130</f>
        <v>6.0194769105026564</v>
      </c>
      <c r="M55" s="2359">
        <f>'11. Амортиз. план'!O130</f>
        <v>16.449435299020628</v>
      </c>
      <c r="N55" s="2359">
        <f>'11. Амортиз. план'!P130</f>
        <v>40.223607818007054</v>
      </c>
      <c r="O55" s="2359">
        <f>'11. Амортиз. план'!Q130</f>
        <v>74.258258832548933</v>
      </c>
      <c r="P55" s="2360">
        <f>'11. Амортиз. план'!R130</f>
        <v>109.85081929963098</v>
      </c>
      <c r="Q55" s="2356">
        <f>'11. Амортиз. план'!S130</f>
        <v>0</v>
      </c>
      <c r="R55" s="2357">
        <f>'11. Амортиз. план'!T130</f>
        <v>3.9</v>
      </c>
      <c r="S55" s="2358">
        <f>'11. Амортиз. план'!U130</f>
        <v>8.5391540662035137</v>
      </c>
      <c r="T55" s="2359">
        <f>'11. Амортиз. план'!V130</f>
        <v>13.815015628255887</v>
      </c>
      <c r="U55" s="2359">
        <f>'11. Амортиз. план'!W130</f>
        <v>22.634790131368153</v>
      </c>
      <c r="V55" s="2359">
        <f>'11. Амортиз. план'!X130</f>
        <v>27.697247694699406</v>
      </c>
      <c r="W55" s="2360">
        <f>'11. Амортиз. план'!Y130</f>
        <v>31.106674778012348</v>
      </c>
      <c r="X55" s="2169"/>
      <c r="Y55" s="2169"/>
      <c r="Z55" s="794"/>
      <c r="AA55" s="781"/>
      <c r="AB55" s="781"/>
      <c r="AC55" s="781"/>
      <c r="AD55" s="790"/>
      <c r="AE55" s="350"/>
      <c r="AF55" s="350"/>
      <c r="AG55" s="350"/>
      <c r="AH55" s="350"/>
      <c r="AI55" s="350"/>
      <c r="AJ55" s="350"/>
      <c r="AK55" s="350"/>
      <c r="AL55" s="350"/>
      <c r="AM55" s="350"/>
    </row>
    <row r="56" spans="1:39" ht="26.25" customHeight="1" thickBot="1">
      <c r="A56" s="1064" t="s">
        <v>675</v>
      </c>
      <c r="B56" s="1065" t="s">
        <v>1006</v>
      </c>
      <c r="C56" s="2361">
        <f>'10. Финансиране на ИП'!C30</f>
        <v>1100</v>
      </c>
      <c r="D56" s="2362">
        <f>'10. Финансиране на ИП'!D30</f>
        <v>1790</v>
      </c>
      <c r="E56" s="2363">
        <f>'10. Финансиране на ИП'!E30</f>
        <v>1267</v>
      </c>
      <c r="F56" s="2364">
        <f>'10. Финансиране на ИП'!F30</f>
        <v>1771.5</v>
      </c>
      <c r="G56" s="2364">
        <f>'10. Финансиране на ИП'!G30</f>
        <v>1773.5</v>
      </c>
      <c r="H56" s="2364">
        <f>'10. Финансиране на ИП'!H30</f>
        <v>2002</v>
      </c>
      <c r="I56" s="2365">
        <f>'10. Финансиране на ИП'!I30</f>
        <v>1684.5</v>
      </c>
      <c r="J56" s="2361">
        <f>'10. Финансиране на ИП'!J30</f>
        <v>0</v>
      </c>
      <c r="K56" s="2362">
        <f>'10. Финансиране на ИП'!K30</f>
        <v>122</v>
      </c>
      <c r="L56" s="2363">
        <f>'10. Финансиране на ИП'!L30</f>
        <v>0</v>
      </c>
      <c r="M56" s="2364">
        <f>'10. Финансиране на ИП'!M30</f>
        <v>168.5</v>
      </c>
      <c r="N56" s="2364">
        <f>'10. Финансиране на ИП'!N30</f>
        <v>622</v>
      </c>
      <c r="O56" s="2364">
        <f>'10. Финансиране на ИП'!O30</f>
        <v>877.5</v>
      </c>
      <c r="P56" s="2365">
        <f>'10. Финансиране на ИП'!P30</f>
        <v>824.5</v>
      </c>
      <c r="Q56" s="2361">
        <f>'10. Финансиране на ИП'!Q30</f>
        <v>0</v>
      </c>
      <c r="R56" s="2362">
        <f>'10. Финансиране на ИП'!R30</f>
        <v>146</v>
      </c>
      <c r="S56" s="2363">
        <f>'10. Финансиране на ИП'!S30</f>
        <v>25.5</v>
      </c>
      <c r="T56" s="2364">
        <f>'10. Финансиране на ИП'!T30</f>
        <v>148.5</v>
      </c>
      <c r="U56" s="2364">
        <f>'10. Финансиране на ИП'!U30</f>
        <v>72.5</v>
      </c>
      <c r="V56" s="2364">
        <f>'10. Финансиране на ИП'!V30</f>
        <v>21</v>
      </c>
      <c r="W56" s="2365">
        <f>'10. Финансиране на ИП'!W30</f>
        <v>16.5</v>
      </c>
      <c r="X56" s="2169"/>
      <c r="Y56" s="2169"/>
      <c r="Z56" s="794"/>
      <c r="AA56" s="781"/>
      <c r="AB56" s="781"/>
      <c r="AC56" s="781"/>
      <c r="AD56" s="790"/>
      <c r="AE56" s="357"/>
      <c r="AF56" s="357"/>
      <c r="AG56" s="357"/>
      <c r="AH56" s="357"/>
      <c r="AI56" s="357"/>
      <c r="AJ56" s="357"/>
      <c r="AK56" s="357"/>
      <c r="AL56" s="357"/>
      <c r="AM56" s="357"/>
    </row>
    <row r="57" spans="1:39" ht="15.75" thickBot="1">
      <c r="A57" s="1059">
        <v>4</v>
      </c>
      <c r="B57" s="1060" t="s">
        <v>624</v>
      </c>
      <c r="C57" s="1990">
        <f t="shared" ref="C57:AD57" si="11">SUM(C58:C60)</f>
        <v>4037</v>
      </c>
      <c r="D57" s="1052">
        <f t="shared" si="11"/>
        <v>4121</v>
      </c>
      <c r="E57" s="1076">
        <f t="shared" si="11"/>
        <v>4231</v>
      </c>
      <c r="F57" s="1077">
        <f t="shared" si="11"/>
        <v>4347</v>
      </c>
      <c r="G57" s="1077">
        <f t="shared" si="11"/>
        <v>4510</v>
      </c>
      <c r="H57" s="1079">
        <f t="shared" si="11"/>
        <v>5450</v>
      </c>
      <c r="I57" s="1078">
        <f t="shared" si="11"/>
        <v>5599</v>
      </c>
      <c r="J57" s="1990">
        <f t="shared" si="11"/>
        <v>310</v>
      </c>
      <c r="K57" s="1052">
        <f t="shared" si="11"/>
        <v>315</v>
      </c>
      <c r="L57" s="1076">
        <f t="shared" si="11"/>
        <v>325.3</v>
      </c>
      <c r="M57" s="1077">
        <f t="shared" si="11"/>
        <v>333.45</v>
      </c>
      <c r="N57" s="1077">
        <f t="shared" si="11"/>
        <v>367</v>
      </c>
      <c r="O57" s="1096">
        <f t="shared" si="11"/>
        <v>446.3</v>
      </c>
      <c r="P57" s="1078">
        <f t="shared" si="11"/>
        <v>456.96</v>
      </c>
      <c r="Q57" s="1990">
        <f t="shared" si="11"/>
        <v>647</v>
      </c>
      <c r="R57" s="1052">
        <f t="shared" si="11"/>
        <v>669</v>
      </c>
      <c r="S57" s="1076">
        <f t="shared" si="11"/>
        <v>678</v>
      </c>
      <c r="T57" s="1077">
        <f t="shared" si="11"/>
        <v>708</v>
      </c>
      <c r="U57" s="1077">
        <f t="shared" si="11"/>
        <v>1002</v>
      </c>
      <c r="V57" s="1077">
        <f t="shared" si="11"/>
        <v>1047</v>
      </c>
      <c r="W57" s="1233">
        <f t="shared" si="11"/>
        <v>1082</v>
      </c>
      <c r="X57" s="1052">
        <f t="shared" si="11"/>
        <v>82</v>
      </c>
      <c r="Y57" s="1052">
        <f t="shared" si="11"/>
        <v>82</v>
      </c>
      <c r="Z57" s="1096">
        <f t="shared" si="11"/>
        <v>92</v>
      </c>
      <c r="AA57" s="1077">
        <f t="shared" si="11"/>
        <v>94</v>
      </c>
      <c r="AB57" s="1077">
        <f t="shared" si="11"/>
        <v>97</v>
      </c>
      <c r="AC57" s="1096">
        <f t="shared" si="11"/>
        <v>99</v>
      </c>
      <c r="AD57" s="1078">
        <f t="shared" si="11"/>
        <v>101</v>
      </c>
      <c r="AE57" s="357"/>
      <c r="AF57" s="357"/>
      <c r="AG57" s="357"/>
      <c r="AH57" s="357"/>
      <c r="AI57" s="357"/>
      <c r="AJ57" s="357"/>
      <c r="AK57" s="357"/>
      <c r="AL57" s="357"/>
      <c r="AM57" s="357"/>
    </row>
    <row r="58" spans="1:39">
      <c r="A58" s="1036" t="s">
        <v>113</v>
      </c>
      <c r="B58" s="1062" t="s">
        <v>329</v>
      </c>
      <c r="C58" s="2347">
        <f>'12.1.Разходи-увелич.и нам.'!C58</f>
        <v>3935</v>
      </c>
      <c r="D58" s="2349">
        <f>'12.1.Разходи-увелич.и нам.'!D58</f>
        <v>4011</v>
      </c>
      <c r="E58" s="2350">
        <f>$C58+('12.1.Разходи-увелич.и нам.'!E58+'12.1.Разходи-увелич.и нам.'!F58)</f>
        <v>4124</v>
      </c>
      <c r="F58" s="2350">
        <f>$C58+('12.1.Разходи-увелич.и нам.'!G58+'12.1.Разходи-увелич.и нам.'!H58)</f>
        <v>4238</v>
      </c>
      <c r="G58" s="2350">
        <f>$C58+('12.1.Разходи-увелич.и нам.'!I58+'12.1.Разходи-увелич.и нам.'!J58)</f>
        <v>4389</v>
      </c>
      <c r="H58" s="2350">
        <f>$C58+('12.1.Разходи-увелич.и нам.'!K58+'12.1.Разходи-увелич.и нам.'!L58)</f>
        <v>5326</v>
      </c>
      <c r="I58" s="1449">
        <f>$C58+('12.1.Разходи-увелич.и нам.'!M58+'12.1.Разходи-увелич.и нам.'!N58)</f>
        <v>5473</v>
      </c>
      <c r="J58" s="2347">
        <f>'12.1.Разходи-увелич.и нам.'!O58</f>
        <v>304</v>
      </c>
      <c r="K58" s="2344">
        <f>'12.1.Разходи-увелич.и нам.'!P58</f>
        <v>308</v>
      </c>
      <c r="L58" s="2345">
        <f>$J58+('12.1.Разходи-увелич.и нам.'!Q58+'12.1.Разходи-увелич.и нам.'!R58)</f>
        <v>319</v>
      </c>
      <c r="M58" s="2345">
        <f>$J58+('12.1.Разходи-увелич.и нам.'!S58+'12.1.Разходи-увелич.и нам.'!T58)</f>
        <v>327</v>
      </c>
      <c r="N58" s="2345">
        <f>$J58+('12.1.Разходи-увелич.и нам.'!U58+'12.1.Разходи-увелич.и нам.'!V58)</f>
        <v>360</v>
      </c>
      <c r="O58" s="2345">
        <f>$J58+('12.1.Разходи-увелич.и нам.'!W58+'12.1.Разходи-увелич.и нам.'!X58)</f>
        <v>439</v>
      </c>
      <c r="P58" s="2346">
        <f>$J58+('12.1.Разходи-увелич.и нам.'!Y58+'12.1.Разходи-увелич.и нам.'!Z58)</f>
        <v>449.5</v>
      </c>
      <c r="Q58" s="2347">
        <f>'12.1.Разходи-увелич.и нам.'!AA58</f>
        <v>647</v>
      </c>
      <c r="R58" s="2348">
        <f>'12.1.Разходи-увелич.и нам.'!AB58</f>
        <v>669</v>
      </c>
      <c r="S58" s="2345">
        <f>$Q58+('12.1.Разходи-увелич.и нам.'!AC58+'12.1.Разходи-увелич.и нам.'!AD58)</f>
        <v>678</v>
      </c>
      <c r="T58" s="2345">
        <f>$Q58+('12.1.Разходи-увелич.и нам.'!AE58+'12.1.Разходи-увелич.и нам.'!AF58)</f>
        <v>708</v>
      </c>
      <c r="U58" s="2345">
        <f>$Q58+('12.1.Разходи-увелич.и нам.'!AG58+'12.1.Разходи-увелич.и нам.'!AH58)</f>
        <v>1002</v>
      </c>
      <c r="V58" s="2345">
        <f>$Q58+('12.1.Разходи-увелич.и нам.'!AI58+'12.1.Разходи-увелич.и нам.'!AJ58)</f>
        <v>1047</v>
      </c>
      <c r="W58" s="2346">
        <f>$Q58+('12.1.Разходи-увелич.и нам.'!AK58+'12.1.Разходи-увелич.и нам.'!AL58)</f>
        <v>1082</v>
      </c>
      <c r="X58" s="2169">
        <v>82</v>
      </c>
      <c r="Y58" s="2169">
        <v>82</v>
      </c>
      <c r="Z58" s="794">
        <v>92</v>
      </c>
      <c r="AA58" s="781">
        <v>94</v>
      </c>
      <c r="AB58" s="781">
        <v>97</v>
      </c>
      <c r="AC58" s="781">
        <v>99</v>
      </c>
      <c r="AD58" s="790">
        <v>101</v>
      </c>
    </row>
    <row r="59" spans="1:39" ht="28.5" customHeight="1">
      <c r="A59" s="1036" t="s">
        <v>115</v>
      </c>
      <c r="B59" s="1231" t="s">
        <v>858</v>
      </c>
      <c r="C59" s="2347">
        <f>'12.1.Разходи-увелич.и нам.'!C59</f>
        <v>102</v>
      </c>
      <c r="D59" s="2349">
        <f>'12.1.Разходи-увелич.и нам.'!D59</f>
        <v>110</v>
      </c>
      <c r="E59" s="2350">
        <f>$C59+('12.1.Разходи-увелич.и нам.'!E59+'12.1.Разходи-увелич.и нам.'!F59)</f>
        <v>107</v>
      </c>
      <c r="F59" s="2350">
        <f>$C59+('12.1.Разходи-увелич.и нам.'!G59+'12.1.Разходи-увелич.и нам.'!H59)</f>
        <v>109</v>
      </c>
      <c r="G59" s="2350">
        <f>$C59+('12.1.Разходи-увелич.и нам.'!I59+'12.1.Разходи-увелич.и нам.'!J59)</f>
        <v>110</v>
      </c>
      <c r="H59" s="2350">
        <f>$C59+('12.1.Разходи-увелич.и нам.'!K59+'12.1.Разходи-увелич.и нам.'!L59)</f>
        <v>113</v>
      </c>
      <c r="I59" s="1449">
        <f>$C59+('12.1.Разходи-увелич.и нам.'!M59+'12.1.Разходи-увелич.и нам.'!N59)</f>
        <v>115</v>
      </c>
      <c r="J59" s="2347">
        <f>'12.1.Разходи-увелич.и нам.'!O59</f>
        <v>6</v>
      </c>
      <c r="K59" s="2344">
        <f>'12.1.Разходи-увелич.и нам.'!P59</f>
        <v>7</v>
      </c>
      <c r="L59" s="2345">
        <f>$J59+('12.1.Разходи-увелич.и нам.'!Q59+'12.1.Разходи-увелич.и нам.'!R59)</f>
        <v>6.3</v>
      </c>
      <c r="M59" s="2345">
        <f>$J59+('12.1.Разходи-увелич.и нам.'!S59+'12.1.Разходи-увелич.и нам.'!T59)</f>
        <v>6.45</v>
      </c>
      <c r="N59" s="2345">
        <f>$J59+('12.1.Разходи-увелич.и нам.'!U59+'12.1.Разходи-увелич.и нам.'!V59)</f>
        <v>6</v>
      </c>
      <c r="O59" s="2345">
        <f>$J59+('12.1.Разходи-увелич.и нам.'!W59+'12.1.Разходи-увелич.и нам.'!X59)</f>
        <v>6.3</v>
      </c>
      <c r="P59" s="2346">
        <f>$J59+('12.1.Разходи-увелич.и нам.'!Y59+'12.1.Разходи-увелич.и нам.'!Z59)</f>
        <v>6.46</v>
      </c>
      <c r="Q59" s="2347">
        <f>'12.1.Разходи-увелич.и нам.'!AA59</f>
        <v>0</v>
      </c>
      <c r="R59" s="2348">
        <f>'12.1.Разходи-увелич.и нам.'!AB59</f>
        <v>0</v>
      </c>
      <c r="S59" s="2345">
        <f>$Q59+('12.1.Разходи-увелич.и нам.'!AC59+'12.1.Разходи-увелич.и нам.'!AD59)</f>
        <v>0</v>
      </c>
      <c r="T59" s="2345">
        <f>$Q59+('12.1.Разходи-увелич.и нам.'!AE59+'12.1.Разходи-увелич.и нам.'!AF59)</f>
        <v>0</v>
      </c>
      <c r="U59" s="2345">
        <f>$Q59+('12.1.Разходи-увелич.и нам.'!AG59+'12.1.Разходи-увелич.и нам.'!AH59)</f>
        <v>0</v>
      </c>
      <c r="V59" s="2345">
        <f>$Q59+('12.1.Разходи-увелич.и нам.'!AI59+'12.1.Разходи-увелич.и нам.'!AJ59)</f>
        <v>0</v>
      </c>
      <c r="W59" s="2346">
        <f>$Q59+('12.1.Разходи-увелич.и нам.'!AK59+'12.1.Разходи-увелич.и нам.'!AL59)</f>
        <v>0</v>
      </c>
      <c r="X59" s="2169"/>
      <c r="Y59" s="2169"/>
      <c r="Z59" s="794"/>
      <c r="AA59" s="781"/>
      <c r="AB59" s="781"/>
      <c r="AC59" s="781"/>
      <c r="AD59" s="790"/>
    </row>
    <row r="60" spans="1:39" ht="15.75" thickBot="1">
      <c r="A60" s="1036" t="s">
        <v>116</v>
      </c>
      <c r="B60" s="1067" t="s">
        <v>330</v>
      </c>
      <c r="C60" s="2347">
        <f>'12.1.Разходи-увелич.и нам.'!C60</f>
        <v>0</v>
      </c>
      <c r="D60" s="2349">
        <f>'12.1.Разходи-увелич.и нам.'!D60</f>
        <v>0</v>
      </c>
      <c r="E60" s="2350">
        <f>$C60+('12.1.Разходи-увелич.и нам.'!E60+'12.1.Разходи-увелич.и нам.'!F60)</f>
        <v>0</v>
      </c>
      <c r="F60" s="2350">
        <f>$C60+('12.1.Разходи-увелич.и нам.'!G60+'12.1.Разходи-увелич.и нам.'!H60)</f>
        <v>0</v>
      </c>
      <c r="G60" s="2350">
        <f>$C60+('12.1.Разходи-увелич.и нам.'!I60+'12.1.Разходи-увелич.и нам.'!J60)</f>
        <v>11</v>
      </c>
      <c r="H60" s="2350">
        <f>$C60+('12.1.Разходи-увелич.и нам.'!K60+'12.1.Разходи-увелич.и нам.'!L60)</f>
        <v>11</v>
      </c>
      <c r="I60" s="1449">
        <f>$C60+('12.1.Разходи-увелич.и нам.'!M60+'12.1.Разходи-увелич.и нам.'!N60)</f>
        <v>11</v>
      </c>
      <c r="J60" s="2347">
        <f>'12.1.Разходи-увелич.и нам.'!O60</f>
        <v>0</v>
      </c>
      <c r="K60" s="2344">
        <f>'12.1.Разходи-увелич.и нам.'!P60</f>
        <v>0</v>
      </c>
      <c r="L60" s="2345">
        <f>$J60+('12.1.Разходи-увелич.и нам.'!Q60+'12.1.Разходи-увелич.и нам.'!R60)</f>
        <v>0</v>
      </c>
      <c r="M60" s="2345">
        <f>$J60+('12.1.Разходи-увелич.и нам.'!S60+'12.1.Разходи-увелич.и нам.'!T60)</f>
        <v>0</v>
      </c>
      <c r="N60" s="2345">
        <f>$J60+('12.1.Разходи-увелич.и нам.'!U60+'12.1.Разходи-увелич.и нам.'!V60)</f>
        <v>1</v>
      </c>
      <c r="O60" s="2345">
        <f>$J60+('12.1.Разходи-увелич.и нам.'!W60+'12.1.Разходи-увелич.и нам.'!X60)</f>
        <v>1</v>
      </c>
      <c r="P60" s="2346">
        <f>$J60+('12.1.Разходи-увелич.и нам.'!Y60+'12.1.Разходи-увелич.и нам.'!Z60)</f>
        <v>1</v>
      </c>
      <c r="Q60" s="2347">
        <f>'12.1.Разходи-увелич.и нам.'!AA60</f>
        <v>0</v>
      </c>
      <c r="R60" s="2348">
        <f>'12.1.Разходи-увелич.и нам.'!AB60</f>
        <v>0</v>
      </c>
      <c r="S60" s="2345">
        <f>$Q60+('12.1.Разходи-увелич.и нам.'!AC60+'12.1.Разходи-увелич.и нам.'!AD60)</f>
        <v>0</v>
      </c>
      <c r="T60" s="2345">
        <f>$Q60+('12.1.Разходи-увелич.и нам.'!AE60+'12.1.Разходи-увелич.и нам.'!AF60)</f>
        <v>0</v>
      </c>
      <c r="U60" s="2345">
        <f>$Q60+('12.1.Разходи-увелич.и нам.'!AG60+'12.1.Разходи-увелич.и нам.'!AH60)</f>
        <v>0</v>
      </c>
      <c r="V60" s="2345">
        <f>$Q60+('12.1.Разходи-увелич.и нам.'!AI60+'12.1.Разходи-увелич.и нам.'!AJ60)</f>
        <v>0</v>
      </c>
      <c r="W60" s="2346">
        <f>$Q60+('12.1.Разходи-увелич.и нам.'!AK60+'12.1.Разходи-увелич.и нам.'!AL60)</f>
        <v>0</v>
      </c>
      <c r="X60" s="2169"/>
      <c r="Y60" s="2169"/>
      <c r="Z60" s="794"/>
      <c r="AA60" s="781"/>
      <c r="AB60" s="781"/>
      <c r="AC60" s="781"/>
      <c r="AD60" s="790"/>
    </row>
    <row r="61" spans="1:39" ht="15.75" thickBot="1">
      <c r="A61" s="1059">
        <v>5</v>
      </c>
      <c r="B61" s="1051" t="s">
        <v>625</v>
      </c>
      <c r="C61" s="1990">
        <f>SUM(C62:C65)</f>
        <v>1922</v>
      </c>
      <c r="D61" s="1052">
        <f t="shared" ref="D61:AD61" si="12">SUM(D62:D65)</f>
        <v>1965</v>
      </c>
      <c r="E61" s="1076">
        <f t="shared" si="12"/>
        <v>2016</v>
      </c>
      <c r="F61" s="1077">
        <f t="shared" si="12"/>
        <v>2064.5</v>
      </c>
      <c r="G61" s="1077">
        <f t="shared" si="12"/>
        <v>2112</v>
      </c>
      <c r="H61" s="1079">
        <f t="shared" si="12"/>
        <v>2551</v>
      </c>
      <c r="I61" s="1078">
        <f t="shared" si="12"/>
        <v>2612</v>
      </c>
      <c r="J61" s="1990">
        <f t="shared" si="12"/>
        <v>162</v>
      </c>
      <c r="K61" s="1052">
        <f t="shared" si="12"/>
        <v>163</v>
      </c>
      <c r="L61" s="1076">
        <f t="shared" si="12"/>
        <v>170.15</v>
      </c>
      <c r="M61" s="1077">
        <f t="shared" si="12"/>
        <v>174.05999999999997</v>
      </c>
      <c r="N61" s="1077">
        <f t="shared" si="12"/>
        <v>182</v>
      </c>
      <c r="O61" s="1096">
        <f t="shared" si="12"/>
        <v>228</v>
      </c>
      <c r="P61" s="1078">
        <f t="shared" si="12"/>
        <v>233</v>
      </c>
      <c r="Q61" s="1990">
        <f t="shared" si="12"/>
        <v>300</v>
      </c>
      <c r="R61" s="1052">
        <f t="shared" si="12"/>
        <v>306</v>
      </c>
      <c r="S61" s="1076">
        <f t="shared" si="12"/>
        <v>315</v>
      </c>
      <c r="T61" s="1077">
        <f t="shared" si="12"/>
        <v>325</v>
      </c>
      <c r="U61" s="1077">
        <f t="shared" si="12"/>
        <v>370</v>
      </c>
      <c r="V61" s="1077">
        <f t="shared" si="12"/>
        <v>383</v>
      </c>
      <c r="W61" s="1233">
        <f t="shared" si="12"/>
        <v>388</v>
      </c>
      <c r="X61" s="1052">
        <f t="shared" si="12"/>
        <v>29</v>
      </c>
      <c r="Y61" s="1052">
        <f t="shared" si="12"/>
        <v>29</v>
      </c>
      <c r="Z61" s="1096">
        <f t="shared" si="12"/>
        <v>29</v>
      </c>
      <c r="AA61" s="1077">
        <f t="shared" si="12"/>
        <v>29</v>
      </c>
      <c r="AB61" s="1077">
        <f t="shared" si="12"/>
        <v>29</v>
      </c>
      <c r="AC61" s="1096">
        <f t="shared" si="12"/>
        <v>29</v>
      </c>
      <c r="AD61" s="1078">
        <f t="shared" si="12"/>
        <v>29</v>
      </c>
    </row>
    <row r="62" spans="1:39">
      <c r="A62" s="1036" t="s">
        <v>119</v>
      </c>
      <c r="B62" s="1062" t="s">
        <v>848</v>
      </c>
      <c r="C62" s="2347">
        <f>'12.1.Разходи-увелич.и нам.'!C62</f>
        <v>802</v>
      </c>
      <c r="D62" s="2349">
        <f>'12.1.Разходи-увелич.и нам.'!D62</f>
        <v>815</v>
      </c>
      <c r="E62" s="2350">
        <f>$C62+('12.1.Разходи-увелич.и нам.'!E62+'12.1.Разходи-увелич.и нам.'!F62)</f>
        <v>841</v>
      </c>
      <c r="F62" s="2350">
        <f>$C62+('12.1.Разходи-увелич.и нам.'!G62+'12.1.Разходи-увелич.и нам.'!H62)</f>
        <v>861</v>
      </c>
      <c r="G62" s="2350">
        <f>$C62+('12.1.Разходи-увелич.и нам.'!I62+'12.1.Разходи-увелич.и нам.'!J62)</f>
        <v>881</v>
      </c>
      <c r="H62" s="2350">
        <f>$C62+('12.1.Разходи-увелич.и нам.'!K62+'12.1.Разходи-увелич.и нам.'!L62)</f>
        <v>1077</v>
      </c>
      <c r="I62" s="1449">
        <f>$C62+('12.1.Разходи-увелич.и нам.'!M62+'12.1.Разходи-увелич.и нам.'!N62)</f>
        <v>1103</v>
      </c>
      <c r="J62" s="2347">
        <f>'12.1.Разходи-увелич.и нам.'!O62</f>
        <v>84</v>
      </c>
      <c r="K62" s="2344">
        <f>'12.1.Разходи-увелич.и нам.'!P62</f>
        <v>85</v>
      </c>
      <c r="L62" s="2345">
        <f>$J62+('12.1.Разходи-увелич.и нам.'!Q62+'12.1.Разходи-увелич.и нам.'!R62)</f>
        <v>88</v>
      </c>
      <c r="M62" s="2345">
        <f>$J62+('12.1.Разходи-увелич.и нам.'!S62+'12.1.Разходи-увелич.и нам.'!T62)</f>
        <v>90</v>
      </c>
      <c r="N62" s="2345">
        <f>$J62+('12.1.Разходи-увелич.и нам.'!U62+'12.1.Разходи-увелич.и нам.'!V62)</f>
        <v>97</v>
      </c>
      <c r="O62" s="2345">
        <f>$J62+('12.1.Разходи-увелич.и нам.'!W62+'12.1.Разходи-увелич.и нам.'!X62)</f>
        <v>140</v>
      </c>
      <c r="P62" s="2346">
        <f>$J62+('12.1.Разходи-увелич.и нам.'!Y62+'12.1.Разходи-увелич.и нам.'!Z62)</f>
        <v>143</v>
      </c>
      <c r="Q62" s="2347">
        <f>'12.1.Разходи-увелич.и нам.'!AA62</f>
        <v>158</v>
      </c>
      <c r="R62" s="2348">
        <f>'12.1.Разходи-увелич.и нам.'!AB62</f>
        <v>164</v>
      </c>
      <c r="S62" s="2345">
        <f>$Q62+('12.1.Разходи-увелич.и нам.'!AC62+'12.1.Разходи-увелич.и нам.'!AD62)</f>
        <v>166</v>
      </c>
      <c r="T62" s="2345">
        <f>$Q62+('12.1.Разходи-увелич.и нам.'!AE62+'12.1.Разходи-увелич.и нам.'!AF62)</f>
        <v>171</v>
      </c>
      <c r="U62" s="2345">
        <f>$Q62+('12.1.Разходи-увелич.и нам.'!AG62+'12.1.Разходи-увелич.и нам.'!AH62)</f>
        <v>213</v>
      </c>
      <c r="V62" s="2345">
        <f>$Q62+('12.1.Разходи-увелич.и нам.'!AI62+'12.1.Разходи-увелич.и нам.'!AJ62)</f>
        <v>221</v>
      </c>
      <c r="W62" s="2346">
        <f>$Q62+('12.1.Разходи-увелич.и нам.'!AK62+'12.1.Разходи-увелич.и нам.'!AL62)</f>
        <v>224</v>
      </c>
      <c r="X62" s="2169">
        <v>11</v>
      </c>
      <c r="Y62" s="2169">
        <v>11</v>
      </c>
      <c r="Z62" s="794">
        <v>11</v>
      </c>
      <c r="AA62" s="781">
        <v>11</v>
      </c>
      <c r="AB62" s="781">
        <v>11</v>
      </c>
      <c r="AC62" s="781">
        <v>11</v>
      </c>
      <c r="AD62" s="790">
        <v>11</v>
      </c>
    </row>
    <row r="63" spans="1:39">
      <c r="A63" s="1036" t="s">
        <v>124</v>
      </c>
      <c r="B63" s="1232" t="s">
        <v>857</v>
      </c>
      <c r="C63" s="2347">
        <f>'12.1.Разходи-увелич.и нам.'!C63</f>
        <v>28</v>
      </c>
      <c r="D63" s="2349">
        <f>'12.1.Разходи-увелич.и нам.'!D63</f>
        <v>28</v>
      </c>
      <c r="E63" s="2350">
        <f>$C63+('12.1.Разходи-увелич.и нам.'!E63+'12.1.Разходи-увелич.и нам.'!F63)</f>
        <v>30</v>
      </c>
      <c r="F63" s="2350">
        <f>$C63+('12.1.Разходи-увелич.и нам.'!G63+'12.1.Разходи-увелич.и нам.'!H63)</f>
        <v>31</v>
      </c>
      <c r="G63" s="2350">
        <f>$C63+('12.1.Разходи-увелич.и нам.'!I63+'12.1.Разходи-увелич.и нам.'!J63)</f>
        <v>31</v>
      </c>
      <c r="H63" s="2350">
        <f>$C63+('12.1.Разходи-увелич.и нам.'!K63+'12.1.Разходи-увелич.и нам.'!L63)</f>
        <v>31</v>
      </c>
      <c r="I63" s="1449">
        <f>$C63+('12.1.Разходи-увелич.и нам.'!M63+'12.1.Разходи-увелич.и нам.'!N63)</f>
        <v>31</v>
      </c>
      <c r="J63" s="2347">
        <f>'12.1.Разходи-увелич.и нам.'!O63</f>
        <v>1</v>
      </c>
      <c r="K63" s="2344">
        <f>'12.1.Разходи-увелич.и нам.'!P63</f>
        <v>1</v>
      </c>
      <c r="L63" s="2345">
        <f>$J63+('12.1.Разходи-увелич.и нам.'!Q63+'12.1.Разходи-увелич.и нам.'!R63)</f>
        <v>1.05</v>
      </c>
      <c r="M63" s="2345">
        <f>$J63+('12.1.Разходи-увелич.и нам.'!S63+'12.1.Разходи-увелич.и нам.'!T63)</f>
        <v>1.02</v>
      </c>
      <c r="N63" s="2345">
        <f>$J63+('12.1.Разходи-увелич.и нам.'!U63+'12.1.Разходи-увелич.и нам.'!V63)</f>
        <v>1</v>
      </c>
      <c r="O63" s="2345">
        <f>$J63+('12.1.Разходи-увелич.и нам.'!W63+'12.1.Разходи-увелич.и нам.'!X63)</f>
        <v>1</v>
      </c>
      <c r="P63" s="2346">
        <f>$J63+('12.1.Разходи-увелич.и нам.'!Y63+'12.1.Разходи-увелич.и нам.'!Z63)</f>
        <v>1</v>
      </c>
      <c r="Q63" s="2347">
        <f>'12.1.Разходи-увелич.и нам.'!AA63</f>
        <v>0</v>
      </c>
      <c r="R63" s="2348">
        <f>'12.1.Разходи-увелич.и нам.'!AB63</f>
        <v>0</v>
      </c>
      <c r="S63" s="2345">
        <f>$Q63+('12.1.Разходи-увелич.и нам.'!AC63+'12.1.Разходи-увелич.и нам.'!AD63)</f>
        <v>0</v>
      </c>
      <c r="T63" s="2345">
        <f>$Q63+('12.1.Разходи-увелич.и нам.'!AE63+'12.1.Разходи-увелич.и нам.'!AF63)</f>
        <v>0</v>
      </c>
      <c r="U63" s="2345">
        <f>$Q63+('12.1.Разходи-увелич.и нам.'!AG63+'12.1.Разходи-увелич.и нам.'!AH63)</f>
        <v>0</v>
      </c>
      <c r="V63" s="2345">
        <f>$Q63+('12.1.Разходи-увелич.и нам.'!AI63+'12.1.Разходи-увелич.и нам.'!AJ63)</f>
        <v>0</v>
      </c>
      <c r="W63" s="2346">
        <f>$Q63+('12.1.Разходи-увелич.и нам.'!AK63+'12.1.Разходи-увелич.и нам.'!AL63)</f>
        <v>0</v>
      </c>
      <c r="X63" s="2169"/>
      <c r="Y63" s="2169"/>
      <c r="Z63" s="794"/>
      <c r="AA63" s="781"/>
      <c r="AB63" s="781"/>
      <c r="AC63" s="781"/>
      <c r="AD63" s="790"/>
    </row>
    <row r="64" spans="1:39" ht="23.25" customHeight="1">
      <c r="A64" s="1036" t="s">
        <v>91</v>
      </c>
      <c r="B64" s="1232" t="s">
        <v>849</v>
      </c>
      <c r="C64" s="2347">
        <f>'12.1.Разходи-увелич.и нам.'!C64</f>
        <v>1073</v>
      </c>
      <c r="D64" s="2349">
        <f>'12.1.Разходи-увелич.и нам.'!D64</f>
        <v>1103</v>
      </c>
      <c r="E64" s="2350">
        <f>$C64+('12.1.Разходи-увелич.и нам.'!E64+'12.1.Разходи-увелич.и нам.'!F64)</f>
        <v>1125</v>
      </c>
      <c r="F64" s="2350">
        <f>$C64+('12.1.Разходи-увелич.и нам.'!G64+'12.1.Разходи-увелич.и нам.'!H64)</f>
        <v>1152</v>
      </c>
      <c r="G64" s="2350">
        <f>$C64+('12.1.Разходи-увелич.и нам.'!I64+'12.1.Разходи-увелич.и нам.'!J64)</f>
        <v>1179</v>
      </c>
      <c r="H64" s="2350">
        <f>$C64+('12.1.Разходи-увелич.и нам.'!K64+'12.1.Разходи-увелич.и нам.'!L64)</f>
        <v>1422</v>
      </c>
      <c r="I64" s="1449">
        <f>$C64+('12.1.Разходи-увелич.и нам.'!M64+'12.1.Разходи-увелич.и нам.'!N64)</f>
        <v>1457</v>
      </c>
      <c r="J64" s="2347">
        <f>'12.1.Разходи-увелич.и нам.'!O64</f>
        <v>75</v>
      </c>
      <c r="K64" s="2344">
        <f>'12.1.Разходи-увелич.и нам.'!P64</f>
        <v>75</v>
      </c>
      <c r="L64" s="2345">
        <f>$J64+('12.1.Разходи-увелич.и нам.'!Q64+'12.1.Разходи-увелич.и нам.'!R64)</f>
        <v>79</v>
      </c>
      <c r="M64" s="2345">
        <f>$J64+('12.1.Разходи-увелич.и нам.'!S64+'12.1.Разходи-увелич.и нам.'!T64)</f>
        <v>81</v>
      </c>
      <c r="N64" s="2345">
        <f>$J64+('12.1.Разходи-увелич.и нам.'!U64+'12.1.Разходи-увелич.и нам.'!V64)</f>
        <v>82</v>
      </c>
      <c r="O64" s="2345">
        <f>$J64+('12.1.Разходи-увелич.и нам.'!W64+'12.1.Разходи-увелич.и нам.'!X64)</f>
        <v>85</v>
      </c>
      <c r="P64" s="2346">
        <f>$J64+('12.1.Разходи-увелич.и нам.'!Y64+'12.1.Разходи-увелич.и нам.'!Z64)</f>
        <v>87</v>
      </c>
      <c r="Q64" s="2347">
        <f>'12.1.Разходи-увелич.и нам.'!AA64</f>
        <v>142</v>
      </c>
      <c r="R64" s="2348">
        <f>'12.1.Разходи-увелич.и нам.'!AB64</f>
        <v>142</v>
      </c>
      <c r="S64" s="2345">
        <f>$Q64+('12.1.Разходи-увелич.и нам.'!AC64+'12.1.Разходи-увелич.и нам.'!AD64)</f>
        <v>149</v>
      </c>
      <c r="T64" s="2345">
        <f>$Q64+('12.1.Разходи-увелич.и нам.'!AE64+'12.1.Разходи-увелич.и нам.'!AF64)</f>
        <v>154</v>
      </c>
      <c r="U64" s="2345">
        <f>$Q64+('12.1.Разходи-увелич.и нам.'!AG64+'12.1.Разходи-увелич.и нам.'!AH64)</f>
        <v>157</v>
      </c>
      <c r="V64" s="2345">
        <f>$Q64+('12.1.Разходи-увелич.и нам.'!AI64+'12.1.Разходи-увелич.и нам.'!AJ64)</f>
        <v>162</v>
      </c>
      <c r="W64" s="2346">
        <f>$Q64+('12.1.Разходи-увелич.и нам.'!AK64+'12.1.Разходи-увелич.и нам.'!AL64)</f>
        <v>164</v>
      </c>
      <c r="X64" s="2169">
        <v>18</v>
      </c>
      <c r="Y64" s="2169">
        <v>18</v>
      </c>
      <c r="Z64" s="794">
        <v>18</v>
      </c>
      <c r="AA64" s="781">
        <v>18</v>
      </c>
      <c r="AB64" s="781">
        <v>18</v>
      </c>
      <c r="AC64" s="781">
        <v>18</v>
      </c>
      <c r="AD64" s="790">
        <v>18</v>
      </c>
    </row>
    <row r="65" spans="1:39" ht="24.75" thickBot="1">
      <c r="A65" s="1036" t="s">
        <v>92</v>
      </c>
      <c r="B65" s="1231" t="s">
        <v>856</v>
      </c>
      <c r="C65" s="2347">
        <f>'12.1.Разходи-увелич.и нам.'!C65</f>
        <v>19</v>
      </c>
      <c r="D65" s="2349">
        <f>'12.1.Разходи-увелич.и нам.'!D65</f>
        <v>19</v>
      </c>
      <c r="E65" s="2350">
        <f>$C65+('12.1.Разходи-увелич.и нам.'!E65+'12.1.Разходи-увелич.и нам.'!F65)</f>
        <v>20</v>
      </c>
      <c r="F65" s="2350">
        <f>$C65+('12.1.Разходи-увелич.и нам.'!G65+'12.1.Разходи-увелич.и нам.'!H65)</f>
        <v>20.5</v>
      </c>
      <c r="G65" s="2350">
        <f>$C65+('12.1.Разходи-увелич.и нам.'!I65+'12.1.Разходи-увелич.и нам.'!J65)</f>
        <v>21</v>
      </c>
      <c r="H65" s="2350">
        <f>$C65+('12.1.Разходи-увелич.и нам.'!K65+'12.1.Разходи-увелич.и нам.'!L65)</f>
        <v>21</v>
      </c>
      <c r="I65" s="1449">
        <f>$C65+('12.1.Разходи-увелич.и нам.'!M65+'12.1.Разходи-увелич.и нам.'!N65)</f>
        <v>21</v>
      </c>
      <c r="J65" s="2347">
        <f>'12.1.Разходи-увелич.и нам.'!O65</f>
        <v>2</v>
      </c>
      <c r="K65" s="2344">
        <f>'12.1.Разходи-увелич.и нам.'!P65</f>
        <v>2</v>
      </c>
      <c r="L65" s="2345">
        <f>$J65+('12.1.Разходи-увелич.и нам.'!Q65+'12.1.Разходи-увелич.и нам.'!R65)</f>
        <v>2.1</v>
      </c>
      <c r="M65" s="2345">
        <f>$J65+('12.1.Разходи-увелич.и нам.'!S65+'12.1.Разходи-увелич.и нам.'!T65)</f>
        <v>2.04</v>
      </c>
      <c r="N65" s="2345">
        <f>$J65+('12.1.Разходи-увелич.и нам.'!U65+'12.1.Разходи-увелич.и нам.'!V65)</f>
        <v>2</v>
      </c>
      <c r="O65" s="2345">
        <f>$J65+('12.1.Разходи-увелич.и нам.'!W65+'12.1.Разходи-увелич.и нам.'!X65)</f>
        <v>2</v>
      </c>
      <c r="P65" s="2346">
        <f>$J65+('12.1.Разходи-увелич.и нам.'!Y65+'12.1.Разходи-увелич.и нам.'!Z65)</f>
        <v>2</v>
      </c>
      <c r="Q65" s="2347">
        <f>'12.1.Разходи-увелич.и нам.'!AA65</f>
        <v>0</v>
      </c>
      <c r="R65" s="2348">
        <f>'12.1.Разходи-увелич.и нам.'!AB65</f>
        <v>0</v>
      </c>
      <c r="S65" s="2345">
        <f>$Q65+('12.1.Разходи-увелич.и нам.'!AC65+'12.1.Разходи-увелич.и нам.'!AD65)</f>
        <v>0</v>
      </c>
      <c r="T65" s="2345">
        <f>$Q65+('12.1.Разходи-увелич.и нам.'!AE65+'12.1.Разходи-увелич.и нам.'!AF65)</f>
        <v>0</v>
      </c>
      <c r="U65" s="2345">
        <f>$Q65+('12.1.Разходи-увелич.и нам.'!AG65+'12.1.Разходи-увелич.и нам.'!AH65)</f>
        <v>0</v>
      </c>
      <c r="V65" s="2345">
        <f>$Q65+('12.1.Разходи-увелич.и нам.'!AI65+'12.1.Разходи-увелич.и нам.'!AJ65)</f>
        <v>0</v>
      </c>
      <c r="W65" s="2346">
        <f>$Q65+('12.1.Разходи-увелич.и нам.'!AK65+'12.1.Разходи-увелич.и нам.'!AL65)</f>
        <v>0</v>
      </c>
      <c r="X65" s="2169"/>
      <c r="Y65" s="2169"/>
      <c r="Z65" s="794"/>
      <c r="AA65" s="781"/>
      <c r="AB65" s="781"/>
      <c r="AC65" s="781"/>
      <c r="AD65" s="790"/>
    </row>
    <row r="66" spans="1:39" ht="15.75" thickBot="1">
      <c r="A66" s="1059">
        <v>6</v>
      </c>
      <c r="B66" s="1051" t="s">
        <v>626</v>
      </c>
      <c r="C66" s="1990">
        <f t="shared" ref="C66:AD66" si="13">SUM(C67:C71)</f>
        <v>569</v>
      </c>
      <c r="D66" s="1052">
        <f t="shared" si="13"/>
        <v>528</v>
      </c>
      <c r="E66" s="1076">
        <f t="shared" si="13"/>
        <v>639</v>
      </c>
      <c r="F66" s="1077">
        <f t="shared" si="13"/>
        <v>615</v>
      </c>
      <c r="G66" s="1077">
        <f t="shared" si="13"/>
        <v>616</v>
      </c>
      <c r="H66" s="1079">
        <f t="shared" si="13"/>
        <v>692</v>
      </c>
      <c r="I66" s="1078">
        <f t="shared" si="13"/>
        <v>678</v>
      </c>
      <c r="J66" s="1990">
        <f t="shared" si="13"/>
        <v>48</v>
      </c>
      <c r="K66" s="1052">
        <f t="shared" si="13"/>
        <v>48</v>
      </c>
      <c r="L66" s="1096">
        <f t="shared" si="13"/>
        <v>48</v>
      </c>
      <c r="M66" s="1077">
        <f t="shared" si="13"/>
        <v>48</v>
      </c>
      <c r="N66" s="1077">
        <f t="shared" si="13"/>
        <v>48</v>
      </c>
      <c r="O66" s="1077">
        <f t="shared" si="13"/>
        <v>49</v>
      </c>
      <c r="P66" s="1233">
        <f t="shared" si="13"/>
        <v>49</v>
      </c>
      <c r="Q66" s="1990">
        <f t="shared" si="13"/>
        <v>51</v>
      </c>
      <c r="R66" s="1052">
        <f t="shared" si="13"/>
        <v>51</v>
      </c>
      <c r="S66" s="1076">
        <f t="shared" si="13"/>
        <v>51</v>
      </c>
      <c r="T66" s="1077">
        <f t="shared" si="13"/>
        <v>51</v>
      </c>
      <c r="U66" s="1077">
        <f t="shared" si="13"/>
        <v>51</v>
      </c>
      <c r="V66" s="1077">
        <f t="shared" si="13"/>
        <v>51</v>
      </c>
      <c r="W66" s="1233">
        <f t="shared" si="13"/>
        <v>51</v>
      </c>
      <c r="X66" s="1052">
        <f t="shared" si="13"/>
        <v>19</v>
      </c>
      <c r="Y66" s="1052">
        <f t="shared" si="13"/>
        <v>19</v>
      </c>
      <c r="Z66" s="1076">
        <f t="shared" si="13"/>
        <v>19</v>
      </c>
      <c r="AA66" s="1077">
        <f t="shared" si="13"/>
        <v>19</v>
      </c>
      <c r="AB66" s="1077">
        <f t="shared" si="13"/>
        <v>19</v>
      </c>
      <c r="AC66" s="1079">
        <f t="shared" si="13"/>
        <v>19</v>
      </c>
      <c r="AD66" s="1078">
        <f t="shared" si="13"/>
        <v>19</v>
      </c>
    </row>
    <row r="67" spans="1:39">
      <c r="A67" s="1036" t="s">
        <v>333</v>
      </c>
      <c r="B67" s="1037" t="s">
        <v>627</v>
      </c>
      <c r="C67" s="2347">
        <f>'12.1.Разходи-увелич.и нам.'!C67</f>
        <v>23</v>
      </c>
      <c r="D67" s="2349">
        <f>'12.1.Разходи-увелич.и нам.'!D67</f>
        <v>23</v>
      </c>
      <c r="E67" s="2350">
        <f>$C67+('12.1.Разходи-увелич.и нам.'!E67+'12.1.Разходи-увелич.и нам.'!F67)</f>
        <v>23</v>
      </c>
      <c r="F67" s="2350">
        <f>$C67+('12.1.Разходи-увелич.и нам.'!G67+'12.1.Разходи-увелич.и нам.'!H67)</f>
        <v>23</v>
      </c>
      <c r="G67" s="2350">
        <f>$C67+('12.1.Разходи-увелич.и нам.'!I67+'12.1.Разходи-увелич.и нам.'!J67)</f>
        <v>23</v>
      </c>
      <c r="H67" s="2350">
        <f>$C67+('12.1.Разходи-увелич.и нам.'!K67+'12.1.Разходи-увелич.и нам.'!L67)</f>
        <v>23</v>
      </c>
      <c r="I67" s="1449">
        <f>$C67+('12.1.Разходи-увелич.и нам.'!M67+'12.1.Разходи-увелич.и нам.'!N67)</f>
        <v>23</v>
      </c>
      <c r="J67" s="2347">
        <f>'12.1.Разходи-увелич.и нам.'!O67</f>
        <v>3</v>
      </c>
      <c r="K67" s="2344">
        <f>'12.1.Разходи-увелич.и нам.'!P67</f>
        <v>3</v>
      </c>
      <c r="L67" s="2345">
        <f>$J67+('12.1.Разходи-увелич.и нам.'!Q67+'12.1.Разходи-увелич.и нам.'!R67)</f>
        <v>3</v>
      </c>
      <c r="M67" s="2345">
        <f>$J67+('12.1.Разходи-увелич.и нам.'!S67+'12.1.Разходи-увелич.и нам.'!T67)</f>
        <v>3</v>
      </c>
      <c r="N67" s="2345">
        <f>$J67+('12.1.Разходи-увелич.и нам.'!U67+'12.1.Разходи-увелич.и нам.'!V67)</f>
        <v>3</v>
      </c>
      <c r="O67" s="2345">
        <f>$J67+('12.1.Разходи-увелич.и нам.'!W67+'12.1.Разходи-увелич.и нам.'!X67)</f>
        <v>3</v>
      </c>
      <c r="P67" s="2346">
        <f>$J67+('12.1.Разходи-увелич.и нам.'!Y67+'12.1.Разходи-увелич.и нам.'!Z67)</f>
        <v>3</v>
      </c>
      <c r="Q67" s="2347">
        <f>'12.1.Разходи-увелич.и нам.'!AA67</f>
        <v>2</v>
      </c>
      <c r="R67" s="2348">
        <f>'12.1.Разходи-увелич.и нам.'!AB67</f>
        <v>2</v>
      </c>
      <c r="S67" s="2345">
        <f>$Q67+('12.1.Разходи-увелич.и нам.'!AC67+'12.1.Разходи-увелич.и нам.'!AD67)</f>
        <v>2</v>
      </c>
      <c r="T67" s="2345">
        <f>$Q67+('12.1.Разходи-увелич.и нам.'!AE67+'12.1.Разходи-увелич.и нам.'!AF67)</f>
        <v>2</v>
      </c>
      <c r="U67" s="2345">
        <f>$Q67+('12.1.Разходи-увелич.и нам.'!AG67+'12.1.Разходи-увелич.и нам.'!AH67)</f>
        <v>2</v>
      </c>
      <c r="V67" s="2345">
        <f>$Q67+('12.1.Разходи-увелич.и нам.'!AI67+'12.1.Разходи-увелич.и нам.'!AJ67)</f>
        <v>2</v>
      </c>
      <c r="W67" s="2346">
        <f>$Q67+('12.1.Разходи-увелич.и нам.'!AK67+'12.1.Разходи-увелич.и нам.'!AL67)</f>
        <v>2</v>
      </c>
      <c r="X67" s="2169">
        <v>19</v>
      </c>
      <c r="Y67" s="2169">
        <v>19</v>
      </c>
      <c r="Z67" s="794">
        <v>19</v>
      </c>
      <c r="AA67" s="781">
        <v>19</v>
      </c>
      <c r="AB67" s="781">
        <v>19</v>
      </c>
      <c r="AC67" s="781">
        <v>19</v>
      </c>
      <c r="AD67" s="790">
        <v>19</v>
      </c>
    </row>
    <row r="68" spans="1:39">
      <c r="A68" s="1036" t="s">
        <v>335</v>
      </c>
      <c r="B68" s="1068" t="s">
        <v>628</v>
      </c>
      <c r="C68" s="2347">
        <f>'12.1.Разходи-увелич.и нам.'!C68</f>
        <v>32</v>
      </c>
      <c r="D68" s="2349">
        <f>'12.1.Разходи-увелич.и нам.'!D68</f>
        <v>32</v>
      </c>
      <c r="E68" s="2350">
        <f>$C68+('12.1.Разходи-увелич.и нам.'!E68+'12.1.Разходи-увелич.и нам.'!F68)</f>
        <v>32</v>
      </c>
      <c r="F68" s="2350">
        <f>$C68+('12.1.Разходи-увелич.и нам.'!G68+'12.1.Разходи-увелич.и нам.'!H68)</f>
        <v>32</v>
      </c>
      <c r="G68" s="2350">
        <f>$C68+('12.1.Разходи-увелич.и нам.'!I68+'12.1.Разходи-увелич.и нам.'!J68)</f>
        <v>34</v>
      </c>
      <c r="H68" s="2350">
        <f>$C68+('12.1.Разходи-увелич.и нам.'!K68+'12.1.Разходи-увелич.и нам.'!L68)</f>
        <v>47</v>
      </c>
      <c r="I68" s="1449">
        <f>$C68+('12.1.Разходи-увелич.и нам.'!M68+'12.1.Разходи-увелич.и нам.'!N68)</f>
        <v>47</v>
      </c>
      <c r="J68" s="2347">
        <f>'12.1.Разходи-увелич.и нам.'!O68</f>
        <v>14</v>
      </c>
      <c r="K68" s="2344">
        <f>'12.1.Разходи-увелич.и нам.'!P68</f>
        <v>14</v>
      </c>
      <c r="L68" s="2345">
        <f>$J68+('12.1.Разходи-увелич.и нам.'!Q68+'12.1.Разходи-увелич.и нам.'!R68)</f>
        <v>14</v>
      </c>
      <c r="M68" s="2345">
        <f>$J68+('12.1.Разходи-увелич.и нам.'!S68+'12.1.Разходи-увелич.и нам.'!T68)</f>
        <v>14</v>
      </c>
      <c r="N68" s="2345">
        <f>$J68+('12.1.Разходи-увелич.и нам.'!U68+'12.1.Разходи-увелич.и нам.'!V68)</f>
        <v>14</v>
      </c>
      <c r="O68" s="2345">
        <f>$J68+('12.1.Разходи-увелич.и нам.'!W68+'12.1.Разходи-увелич.и нам.'!X68)</f>
        <v>15</v>
      </c>
      <c r="P68" s="2346">
        <f>$J68+('12.1.Разходи-увелич.и нам.'!Y68+'12.1.Разходи-увелич.и нам.'!Z68)</f>
        <v>15</v>
      </c>
      <c r="Q68" s="2347">
        <f>'12.1.Разходи-увелич.и нам.'!AA68</f>
        <v>8</v>
      </c>
      <c r="R68" s="2348">
        <f>'12.1.Разходи-увелич.и нам.'!AB68</f>
        <v>8</v>
      </c>
      <c r="S68" s="2345">
        <f>$Q68+('12.1.Разходи-увелич.и нам.'!AC68+'12.1.Разходи-увелич.и нам.'!AD68)</f>
        <v>8</v>
      </c>
      <c r="T68" s="2345">
        <f>$Q68+('12.1.Разходи-увелич.и нам.'!AE68+'12.1.Разходи-увелич.и нам.'!AF68)</f>
        <v>8</v>
      </c>
      <c r="U68" s="2345">
        <f>$Q68+('12.1.Разходи-увелич.и нам.'!AG68+'12.1.Разходи-увелич.и нам.'!AH68)</f>
        <v>8</v>
      </c>
      <c r="V68" s="2345">
        <f>$Q68+('12.1.Разходи-увелич.и нам.'!AI68+'12.1.Разходи-увелич.и нам.'!AJ68)</f>
        <v>8</v>
      </c>
      <c r="W68" s="2346">
        <f>$Q68+('12.1.Разходи-увелич.и нам.'!AK68+'12.1.Разходи-увелич.и нам.'!AL68)</f>
        <v>8</v>
      </c>
      <c r="X68" s="2169"/>
      <c r="Y68" s="2169"/>
      <c r="Z68" s="794"/>
      <c r="AA68" s="781"/>
      <c r="AB68" s="781"/>
      <c r="AC68" s="781"/>
      <c r="AD68" s="790"/>
    </row>
    <row r="69" spans="1:39">
      <c r="A69" s="1036" t="s">
        <v>337</v>
      </c>
      <c r="B69" s="1043" t="s">
        <v>629</v>
      </c>
      <c r="C69" s="2347">
        <f>'12.1.Разходи-увелич.и нам.'!C69</f>
        <v>468</v>
      </c>
      <c r="D69" s="2349">
        <f>'12.1.Разходи-увелич.и нам.'!D69</f>
        <v>428</v>
      </c>
      <c r="E69" s="2350">
        <f>$C69+('12.1.Разходи-увелич.и нам.'!E69+'12.1.Разходи-увелич.и нам.'!F69)</f>
        <v>538</v>
      </c>
      <c r="F69" s="2350">
        <f>$C69+('12.1.Разходи-увелич.и нам.'!G69+'12.1.Разходи-увелич.и нам.'!H69)</f>
        <v>514</v>
      </c>
      <c r="G69" s="2350">
        <f>$C69+('12.1.Разходи-увелич.и нам.'!I69+'12.1.Разходи-увелич.и нам.'!J69)</f>
        <v>513</v>
      </c>
      <c r="H69" s="2350">
        <f>$C69+('12.1.Разходи-увелич.и нам.'!K69+'12.1.Разходи-увелич.и нам.'!L69)</f>
        <v>576</v>
      </c>
      <c r="I69" s="1449">
        <f>$C69+('12.1.Разходи-увелич.и нам.'!M69+'12.1.Разходи-увелич.и нам.'!N69)</f>
        <v>562</v>
      </c>
      <c r="J69" s="2347">
        <f>'12.1.Разходи-увелич.и нам.'!O69</f>
        <v>0</v>
      </c>
      <c r="K69" s="2344">
        <f>'12.1.Разходи-увелич.и нам.'!P69</f>
        <v>0</v>
      </c>
      <c r="L69" s="2345">
        <f>$J69+('12.1.Разходи-увелич.и нам.'!Q69+'12.1.Разходи-увелич.и нам.'!R69)</f>
        <v>0</v>
      </c>
      <c r="M69" s="2345">
        <f>$J69+('12.1.Разходи-увелич.и нам.'!S69+'12.1.Разходи-увелич.и нам.'!T69)</f>
        <v>0</v>
      </c>
      <c r="N69" s="2345">
        <f>$J69+('12.1.Разходи-увелич.и нам.'!U69+'12.1.Разходи-увелич.и нам.'!V69)</f>
        <v>0</v>
      </c>
      <c r="O69" s="2345">
        <f>$J69+('12.1.Разходи-увелич.и нам.'!W69+'12.1.Разходи-увелич.и нам.'!X69)</f>
        <v>0</v>
      </c>
      <c r="P69" s="2346">
        <f>$J69+('12.1.Разходи-увелич.и нам.'!Y69+'12.1.Разходи-увелич.и нам.'!Z69)</f>
        <v>0</v>
      </c>
      <c r="Q69" s="2347">
        <f>'12.1.Разходи-увелич.и нам.'!AA69</f>
        <v>0</v>
      </c>
      <c r="R69" s="2348">
        <f>'12.1.Разходи-увелич.и нам.'!AB69</f>
        <v>0</v>
      </c>
      <c r="S69" s="2345">
        <f>$Q69+('12.1.Разходи-увелич.и нам.'!AC69+'12.1.Разходи-увелич.и нам.'!AD69)</f>
        <v>0</v>
      </c>
      <c r="T69" s="2345">
        <f>$Q69+('12.1.Разходи-увелич.и нам.'!AE69+'12.1.Разходи-увелич.и нам.'!AF69)</f>
        <v>0</v>
      </c>
      <c r="U69" s="2345">
        <f>$Q69+('12.1.Разходи-увелич.и нам.'!AG69+'12.1.Разходи-увелич.и нам.'!AH69)</f>
        <v>0</v>
      </c>
      <c r="V69" s="2345">
        <f>$Q69+('12.1.Разходи-увелич.и нам.'!AI69+'12.1.Разходи-увелич.и нам.'!AJ69)</f>
        <v>0</v>
      </c>
      <c r="W69" s="2346">
        <f>$Q69+('12.1.Разходи-увелич.и нам.'!AK69+'12.1.Разходи-увелич.и нам.'!AL69)</f>
        <v>0</v>
      </c>
      <c r="X69" s="2169"/>
      <c r="Y69" s="2169"/>
      <c r="Z69" s="794"/>
      <c r="AA69" s="781"/>
      <c r="AB69" s="781"/>
      <c r="AC69" s="781"/>
      <c r="AD69" s="790"/>
    </row>
    <row r="70" spans="1:39">
      <c r="A70" s="1036" t="s">
        <v>339</v>
      </c>
      <c r="B70" s="1043" t="s">
        <v>630</v>
      </c>
      <c r="C70" s="2347">
        <f>'12.1.Разходи-увелич.и нам.'!C70</f>
        <v>0</v>
      </c>
      <c r="D70" s="2349">
        <f>'12.1.Разходи-увелич.и нам.'!D70</f>
        <v>0</v>
      </c>
      <c r="E70" s="2350">
        <f>$C70+('12.1.Разходи-увелич.и нам.'!E70+'12.1.Разходи-увелич.и нам.'!F70)</f>
        <v>0</v>
      </c>
      <c r="F70" s="2350">
        <f>$C70+('12.1.Разходи-увелич.и нам.'!G70+'12.1.Разходи-увелич.и нам.'!H70)</f>
        <v>0</v>
      </c>
      <c r="G70" s="2350">
        <f>$C70+('12.1.Разходи-увелич.и нам.'!I70+'12.1.Разходи-увелич.и нам.'!J70)</f>
        <v>0</v>
      </c>
      <c r="H70" s="2350">
        <f>$C70+('12.1.Разходи-увелич.и нам.'!K70+'12.1.Разходи-увелич.и нам.'!L70)</f>
        <v>0</v>
      </c>
      <c r="I70" s="1449">
        <f>$C70+('12.1.Разходи-увелич.и нам.'!M70+'12.1.Разходи-увелич.и нам.'!N70)</f>
        <v>0</v>
      </c>
      <c r="J70" s="2347">
        <f>'12.1.Разходи-увелич.и нам.'!O70</f>
        <v>27</v>
      </c>
      <c r="K70" s="2344">
        <f>'12.1.Разходи-увелич.и нам.'!P70</f>
        <v>27</v>
      </c>
      <c r="L70" s="2345">
        <f>$J70+('12.1.Разходи-увелич.и нам.'!Q70+'12.1.Разходи-увелич.и нам.'!R70)</f>
        <v>27</v>
      </c>
      <c r="M70" s="2345">
        <f>$J70+('12.1.Разходи-увелич.и нам.'!S70+'12.1.Разходи-увелич.и нам.'!T70)</f>
        <v>27</v>
      </c>
      <c r="N70" s="2345">
        <f>$J70+('12.1.Разходи-увелич.и нам.'!U70+'12.1.Разходи-увелич.и нам.'!V70)</f>
        <v>27</v>
      </c>
      <c r="O70" s="2345">
        <f>$J70+('12.1.Разходи-увелич.и нам.'!W70+'12.1.Разходи-увелич.и нам.'!X70)</f>
        <v>27</v>
      </c>
      <c r="P70" s="2346">
        <f>$J70+('12.1.Разходи-увелич.и нам.'!Y70+'12.1.Разходи-увелич.и нам.'!Z70)</f>
        <v>27</v>
      </c>
      <c r="Q70" s="2347">
        <f>'12.1.Разходи-увелич.и нам.'!AA70</f>
        <v>37</v>
      </c>
      <c r="R70" s="2348">
        <f>'12.1.Разходи-увелич.и нам.'!AB70</f>
        <v>37</v>
      </c>
      <c r="S70" s="2345">
        <f>$Q70+('12.1.Разходи-увелич.и нам.'!AC70+'12.1.Разходи-увелич.и нам.'!AD70)</f>
        <v>37</v>
      </c>
      <c r="T70" s="2345">
        <f>$Q70+('12.1.Разходи-увелич.и нам.'!AE70+'12.1.Разходи-увелич.и нам.'!AF70)</f>
        <v>37</v>
      </c>
      <c r="U70" s="2345">
        <f>$Q70+('12.1.Разходи-увелич.и нам.'!AG70+'12.1.Разходи-увелич.и нам.'!AH70)</f>
        <v>37</v>
      </c>
      <c r="V70" s="2345">
        <f>$Q70+('12.1.Разходи-увелич.и нам.'!AI70+'12.1.Разходи-увелич.и нам.'!AJ70)</f>
        <v>37</v>
      </c>
      <c r="W70" s="2346">
        <f>$Q70+('12.1.Разходи-увелич.и нам.'!AK70+'12.1.Разходи-увелич.и нам.'!AL70)</f>
        <v>37</v>
      </c>
      <c r="X70" s="2169"/>
      <c r="Y70" s="2169"/>
      <c r="Z70" s="794"/>
      <c r="AA70" s="781"/>
      <c r="AB70" s="781"/>
      <c r="AC70" s="781"/>
      <c r="AD70" s="790"/>
    </row>
    <row r="71" spans="1:39" ht="15.75" thickBot="1">
      <c r="A71" s="1036" t="s">
        <v>341</v>
      </c>
      <c r="B71" s="1043" t="s">
        <v>631</v>
      </c>
      <c r="C71" s="2347">
        <f>'12.1.Разходи-увелич.и нам.'!C71</f>
        <v>46</v>
      </c>
      <c r="D71" s="2349">
        <f>'12.1.Разходи-увелич.и нам.'!D71</f>
        <v>45</v>
      </c>
      <c r="E71" s="2350">
        <f>$C71+('12.1.Разходи-увелич.и нам.'!E71+'12.1.Разходи-увелич.и нам.'!F71)</f>
        <v>46</v>
      </c>
      <c r="F71" s="2350">
        <f>$C71+('12.1.Разходи-увелич.и нам.'!G71+'12.1.Разходи-увелич.и нам.'!H71)</f>
        <v>46</v>
      </c>
      <c r="G71" s="2350">
        <f>$C71+('12.1.Разходи-увелич.и нам.'!I71+'12.1.Разходи-увелич.и нам.'!J71)</f>
        <v>46</v>
      </c>
      <c r="H71" s="2350">
        <f>$C71+('12.1.Разходи-увелич.и нам.'!K71+'12.1.Разходи-увелич.и нам.'!L71)</f>
        <v>46</v>
      </c>
      <c r="I71" s="1449">
        <f>$C71+('12.1.Разходи-увелич.и нам.'!M71+'12.1.Разходи-увелич.и нам.'!N71)</f>
        <v>46</v>
      </c>
      <c r="J71" s="2347">
        <f>'12.1.Разходи-увелич.и нам.'!O71</f>
        <v>4</v>
      </c>
      <c r="K71" s="2344">
        <f>'12.1.Разходи-увелич.и нам.'!P71</f>
        <v>4</v>
      </c>
      <c r="L71" s="2345">
        <f>$J71+('12.1.Разходи-увелич.и нам.'!Q71+'12.1.Разходи-увелич.и нам.'!R71)</f>
        <v>4</v>
      </c>
      <c r="M71" s="2345">
        <f>$J71+('12.1.Разходи-увелич.и нам.'!S71+'12.1.Разходи-увелич.и нам.'!T71)</f>
        <v>4</v>
      </c>
      <c r="N71" s="2345">
        <f>$J71+('12.1.Разходи-увелич.и нам.'!U71+'12.1.Разходи-увелич.и нам.'!V71)</f>
        <v>4</v>
      </c>
      <c r="O71" s="2345">
        <f>$J71+('12.1.Разходи-увелич.и нам.'!W71+'12.1.Разходи-увелич.и нам.'!X71)</f>
        <v>4</v>
      </c>
      <c r="P71" s="2346">
        <f>$J71+('12.1.Разходи-увелич.и нам.'!Y71+'12.1.Разходи-увелич.и нам.'!Z71)</f>
        <v>4</v>
      </c>
      <c r="Q71" s="2347">
        <f>'12.1.Разходи-увелич.и нам.'!AA71</f>
        <v>4</v>
      </c>
      <c r="R71" s="2348">
        <f>'12.1.Разходи-увелич.и нам.'!AB71</f>
        <v>4</v>
      </c>
      <c r="S71" s="2345">
        <f>$Q71+('12.1.Разходи-увелич.и нам.'!AC71+'12.1.Разходи-увелич.и нам.'!AD71)</f>
        <v>4</v>
      </c>
      <c r="T71" s="2345">
        <f>$Q71+('12.1.Разходи-увелич.и нам.'!AE71+'12.1.Разходи-увелич.и нам.'!AF71)</f>
        <v>4</v>
      </c>
      <c r="U71" s="2345">
        <f>$Q71+('12.1.Разходи-увелич.и нам.'!AG71+'12.1.Разходи-увелич.и нам.'!AH71)</f>
        <v>4</v>
      </c>
      <c r="V71" s="2345">
        <f>$Q71+('12.1.Разходи-увелич.и нам.'!AI71+'12.1.Разходи-увелич.и нам.'!AJ71)</f>
        <v>4</v>
      </c>
      <c r="W71" s="2346">
        <f>$Q71+('12.1.Разходи-увелич.и нам.'!AK71+'12.1.Разходи-увелич.и нам.'!AL71)</f>
        <v>4</v>
      </c>
      <c r="X71" s="2169"/>
      <c r="Y71" s="2169"/>
      <c r="Z71" s="794"/>
      <c r="AA71" s="781"/>
      <c r="AB71" s="781"/>
      <c r="AC71" s="781"/>
      <c r="AD71" s="790"/>
    </row>
    <row r="72" spans="1:39" ht="15.75" thickBot="1">
      <c r="A72" s="1059">
        <v>7</v>
      </c>
      <c r="B72" s="1051" t="s">
        <v>332</v>
      </c>
      <c r="C72" s="1990">
        <f t="shared" ref="C72:AD72" si="14">SUM(C73:C79)</f>
        <v>90</v>
      </c>
      <c r="D72" s="1052">
        <f t="shared" si="14"/>
        <v>270</v>
      </c>
      <c r="E72" s="1076">
        <f t="shared" si="14"/>
        <v>90</v>
      </c>
      <c r="F72" s="1077">
        <f t="shared" si="14"/>
        <v>90</v>
      </c>
      <c r="G72" s="1077">
        <f t="shared" si="14"/>
        <v>97</v>
      </c>
      <c r="H72" s="1079">
        <f t="shared" si="14"/>
        <v>190</v>
      </c>
      <c r="I72" s="1078">
        <f t="shared" si="14"/>
        <v>190</v>
      </c>
      <c r="J72" s="1990">
        <f t="shared" si="14"/>
        <v>9</v>
      </c>
      <c r="K72" s="1052">
        <f t="shared" si="14"/>
        <v>30</v>
      </c>
      <c r="L72" s="1096">
        <f t="shared" si="14"/>
        <v>9</v>
      </c>
      <c r="M72" s="1077">
        <f t="shared" si="14"/>
        <v>9</v>
      </c>
      <c r="N72" s="1077">
        <f t="shared" si="14"/>
        <v>9</v>
      </c>
      <c r="O72" s="1077">
        <f t="shared" si="14"/>
        <v>15</v>
      </c>
      <c r="P72" s="1233">
        <f t="shared" si="14"/>
        <v>15</v>
      </c>
      <c r="Q72" s="1990">
        <f t="shared" si="14"/>
        <v>10</v>
      </c>
      <c r="R72" s="1052">
        <f t="shared" si="14"/>
        <v>29</v>
      </c>
      <c r="S72" s="1076">
        <f t="shared" si="14"/>
        <v>10</v>
      </c>
      <c r="T72" s="1077">
        <f t="shared" si="14"/>
        <v>10</v>
      </c>
      <c r="U72" s="1077">
        <f t="shared" si="14"/>
        <v>10</v>
      </c>
      <c r="V72" s="1077">
        <f t="shared" si="14"/>
        <v>10</v>
      </c>
      <c r="W72" s="1233">
        <f t="shared" si="14"/>
        <v>10</v>
      </c>
      <c r="X72" s="1052">
        <f t="shared" si="14"/>
        <v>312</v>
      </c>
      <c r="Y72" s="1052">
        <f t="shared" si="14"/>
        <v>302</v>
      </c>
      <c r="Z72" s="1076">
        <f t="shared" si="14"/>
        <v>302</v>
      </c>
      <c r="AA72" s="1077">
        <f t="shared" si="14"/>
        <v>302</v>
      </c>
      <c r="AB72" s="1077">
        <f t="shared" si="14"/>
        <v>302</v>
      </c>
      <c r="AC72" s="1079">
        <f t="shared" si="14"/>
        <v>302</v>
      </c>
      <c r="AD72" s="1078">
        <f t="shared" si="14"/>
        <v>302</v>
      </c>
    </row>
    <row r="73" spans="1:39">
      <c r="A73" s="486" t="s">
        <v>232</v>
      </c>
      <c r="B73" s="1037" t="s">
        <v>334</v>
      </c>
      <c r="C73" s="2347">
        <f>'12.1.Разходи-увелич.и нам.'!C73</f>
        <v>0</v>
      </c>
      <c r="D73" s="2349">
        <f>'12.1.Разходи-увелич.и нам.'!D73</f>
        <v>0</v>
      </c>
      <c r="E73" s="2350">
        <f>$C73+('12.1.Разходи-увелич.и нам.'!E73+'12.1.Разходи-увелич.и нам.'!F73)</f>
        <v>0</v>
      </c>
      <c r="F73" s="2350">
        <f>$C73+('12.1.Разходи-увелич.и нам.'!G73+'12.1.Разходи-увелич.и нам.'!H73)</f>
        <v>0</v>
      </c>
      <c r="G73" s="2350">
        <f>$C73+('12.1.Разходи-увелич.и нам.'!I73+'12.1.Разходи-увелич.и нам.'!J73)</f>
        <v>0</v>
      </c>
      <c r="H73" s="2350">
        <f>$C73+('12.1.Разходи-увелич.и нам.'!K73+'12.1.Разходи-увелич.и нам.'!L73)</f>
        <v>1</v>
      </c>
      <c r="I73" s="1449">
        <f>$C73+('12.1.Разходи-увелич.и нам.'!M73+'12.1.Разходи-увелич.и нам.'!N73)</f>
        <v>1</v>
      </c>
      <c r="J73" s="2347">
        <f>'12.1.Разходи-увелич.и нам.'!O73</f>
        <v>0</v>
      </c>
      <c r="K73" s="2344">
        <f>'12.1.Разходи-увелич.и нам.'!P73</f>
        <v>0</v>
      </c>
      <c r="L73" s="2345">
        <f>$J73+('12.1.Разходи-увелич.и нам.'!Q73+'12.1.Разходи-увелич.и нам.'!R73)</f>
        <v>0</v>
      </c>
      <c r="M73" s="2345">
        <f>$J73+('12.1.Разходи-увелич.и нам.'!S73+'12.1.Разходи-увелич.и нам.'!T73)</f>
        <v>0</v>
      </c>
      <c r="N73" s="2345">
        <f>$J73+('12.1.Разходи-увелич.и нам.'!U73+'12.1.Разходи-увелич.и нам.'!V73)</f>
        <v>0</v>
      </c>
      <c r="O73" s="2345">
        <f>$J73+('12.1.Разходи-увелич.и нам.'!W73+'12.1.Разходи-увелич.и нам.'!X73)</f>
        <v>0</v>
      </c>
      <c r="P73" s="2346">
        <f>$J73+('12.1.Разходи-увелич.и нам.'!Y73+'12.1.Разходи-увелич.и нам.'!Z73)</f>
        <v>0</v>
      </c>
      <c r="Q73" s="2347">
        <f>'12.1.Разходи-увелич.и нам.'!AA73</f>
        <v>0</v>
      </c>
      <c r="R73" s="2348">
        <f>'12.1.Разходи-увелич.и нам.'!AB73</f>
        <v>0</v>
      </c>
      <c r="S73" s="2345">
        <f>$Q73+('12.1.Разходи-увелич.и нам.'!AC73+'12.1.Разходи-увелич.и нам.'!AD73)</f>
        <v>0</v>
      </c>
      <c r="T73" s="2345">
        <f>$Q73+('12.1.Разходи-увелич.и нам.'!AE73+'12.1.Разходи-увелич.и нам.'!AF73)</f>
        <v>0</v>
      </c>
      <c r="U73" s="2345">
        <f>$Q73+('12.1.Разходи-увелич.и нам.'!AG73+'12.1.Разходи-увелич.и нам.'!AH73)</f>
        <v>0</v>
      </c>
      <c r="V73" s="2345">
        <f>$Q73+('12.1.Разходи-увелич.и нам.'!AI73+'12.1.Разходи-увелич.и нам.'!AJ73)</f>
        <v>0</v>
      </c>
      <c r="W73" s="2346">
        <f>$Q73+('12.1.Разходи-увелич.и нам.'!AK73+'12.1.Разходи-увелич.и нам.'!AL73)</f>
        <v>0</v>
      </c>
      <c r="X73" s="2169"/>
      <c r="Y73" s="2169"/>
      <c r="Z73" s="794"/>
      <c r="AA73" s="781"/>
      <c r="AB73" s="781"/>
      <c r="AC73" s="781"/>
      <c r="AD73" s="790"/>
    </row>
    <row r="74" spans="1:39">
      <c r="A74" s="486" t="s">
        <v>235</v>
      </c>
      <c r="B74" s="1068" t="s">
        <v>336</v>
      </c>
      <c r="C74" s="2347">
        <f>'12.1.Разходи-увелич.и нам.'!C74</f>
        <v>27</v>
      </c>
      <c r="D74" s="2349">
        <f>'12.1.Разходи-увелич.и нам.'!D74</f>
        <v>20</v>
      </c>
      <c r="E74" s="2350">
        <f>$C74+('12.1.Разходи-увелич.и нам.'!E74+'12.1.Разходи-увелич.и нам.'!F74)</f>
        <v>27</v>
      </c>
      <c r="F74" s="2350">
        <f>$C74+('12.1.Разходи-увелич.и нам.'!G74+'12.1.Разходи-увелич.и нам.'!H74)</f>
        <v>27</v>
      </c>
      <c r="G74" s="2350">
        <f>$C74+('12.1.Разходи-увелич.и нам.'!I74+'12.1.Разходи-увелич.и нам.'!J74)</f>
        <v>27</v>
      </c>
      <c r="H74" s="2350">
        <f>$C74+('12.1.Разходи-увелич.и нам.'!K74+'12.1.Разходи-увелич.и нам.'!L74)</f>
        <v>35</v>
      </c>
      <c r="I74" s="1449">
        <f>$C74+('12.1.Разходи-увелич.и нам.'!M74+'12.1.Разходи-увелич.и нам.'!N74)</f>
        <v>35</v>
      </c>
      <c r="J74" s="2347">
        <f>'12.1.Разходи-увелич.и нам.'!O74</f>
        <v>2</v>
      </c>
      <c r="K74" s="2344">
        <f>'12.1.Разходи-увелич.и нам.'!P74</f>
        <v>2</v>
      </c>
      <c r="L74" s="2345">
        <f>$J74+('12.1.Разходи-увелич.и нам.'!Q74+'12.1.Разходи-увелич.и нам.'!R74)</f>
        <v>2</v>
      </c>
      <c r="M74" s="2345">
        <f>$J74+('12.1.Разходи-увелич.и нам.'!S74+'12.1.Разходи-увелич.и нам.'!T74)</f>
        <v>2</v>
      </c>
      <c r="N74" s="2345">
        <f>$J74+('12.1.Разходи-увелич.и нам.'!U74+'12.1.Разходи-увелич.и нам.'!V74)</f>
        <v>2</v>
      </c>
      <c r="O74" s="2345">
        <f>$J74+('12.1.Разходи-увелич.и нам.'!W74+'12.1.Разходи-увелич.и нам.'!X74)</f>
        <v>2</v>
      </c>
      <c r="P74" s="2346">
        <f>$J74+('12.1.Разходи-увелич.и нам.'!Y74+'12.1.Разходи-увелич.и нам.'!Z74)</f>
        <v>2</v>
      </c>
      <c r="Q74" s="2347">
        <f>'12.1.Разходи-увелич.и нам.'!AA74</f>
        <v>4</v>
      </c>
      <c r="R74" s="2348">
        <f>'12.1.Разходи-увелич.и нам.'!AB74</f>
        <v>4</v>
      </c>
      <c r="S74" s="2345">
        <f>$Q74+('12.1.Разходи-увелич.и нам.'!AC74+'12.1.Разходи-увелич.и нам.'!AD74)</f>
        <v>4</v>
      </c>
      <c r="T74" s="2345">
        <f>$Q74+('12.1.Разходи-увелич.и нам.'!AE74+'12.1.Разходи-увелич.и нам.'!AF74)</f>
        <v>4</v>
      </c>
      <c r="U74" s="2345">
        <f>$Q74+('12.1.Разходи-увелич.и нам.'!AG74+'12.1.Разходи-увелич.и нам.'!AH74)</f>
        <v>4</v>
      </c>
      <c r="V74" s="2345">
        <f>$Q74+('12.1.Разходи-увелич.и нам.'!AI74+'12.1.Разходи-увелич.и нам.'!AJ74)</f>
        <v>4</v>
      </c>
      <c r="W74" s="2346">
        <f>$Q74+('12.1.Разходи-увелич.и нам.'!AK74+'12.1.Разходи-увелич.и нам.'!AL74)</f>
        <v>4</v>
      </c>
      <c r="X74" s="2169">
        <v>1</v>
      </c>
      <c r="Y74" s="2169">
        <v>1</v>
      </c>
      <c r="Z74" s="794">
        <v>1</v>
      </c>
      <c r="AA74" s="781">
        <v>1</v>
      </c>
      <c r="AB74" s="781">
        <v>1</v>
      </c>
      <c r="AC74" s="781">
        <v>1</v>
      </c>
      <c r="AD74" s="790">
        <v>1</v>
      </c>
    </row>
    <row r="75" spans="1:39">
      <c r="A75" s="486" t="s">
        <v>632</v>
      </c>
      <c r="B75" s="1043" t="s">
        <v>331</v>
      </c>
      <c r="C75" s="2347">
        <f>'12.1.Разходи-увелич.и нам.'!C75</f>
        <v>0</v>
      </c>
      <c r="D75" s="2349">
        <f>'12.1.Разходи-увелич.и нам.'!D75</f>
        <v>0</v>
      </c>
      <c r="E75" s="2350">
        <f>$C75+('12.1.Разходи-увелич.и нам.'!E75+'12.1.Разходи-увелич.и нам.'!F75)</f>
        <v>0</v>
      </c>
      <c r="F75" s="2350">
        <f>$C75+('12.1.Разходи-увелич.и нам.'!G75+'12.1.Разходи-увелич.и нам.'!H75)</f>
        <v>0</v>
      </c>
      <c r="G75" s="2350">
        <f>$C75+('12.1.Разходи-увелич.и нам.'!I75+'12.1.Разходи-увелич.и нам.'!J75)</f>
        <v>0</v>
      </c>
      <c r="H75" s="2350">
        <f>$C75+('12.1.Разходи-увелич.и нам.'!K75+'12.1.Разходи-увелич.и нам.'!L75)</f>
        <v>0</v>
      </c>
      <c r="I75" s="1449">
        <f>$C75+('12.1.Разходи-увелич.и нам.'!M75+'12.1.Разходи-увелич.и нам.'!N75)</f>
        <v>0</v>
      </c>
      <c r="J75" s="2347">
        <f>'12.1.Разходи-увелич.и нам.'!O75</f>
        <v>0</v>
      </c>
      <c r="K75" s="2344">
        <f>'12.1.Разходи-увелич.и нам.'!P75</f>
        <v>0</v>
      </c>
      <c r="L75" s="2345">
        <f>$J75+('12.1.Разходи-увелич.и нам.'!Q75+'12.1.Разходи-увелич.и нам.'!R75)</f>
        <v>0</v>
      </c>
      <c r="M75" s="2345">
        <f>$J75+('12.1.Разходи-увелич.и нам.'!S75+'12.1.Разходи-увелич.и нам.'!T75)</f>
        <v>0</v>
      </c>
      <c r="N75" s="2345">
        <f>$J75+('12.1.Разходи-увелич.и нам.'!U75+'12.1.Разходи-увелич.и нам.'!V75)</f>
        <v>0</v>
      </c>
      <c r="O75" s="2345">
        <f>$J75+('12.1.Разходи-увелич.и нам.'!W75+'12.1.Разходи-увелич.и нам.'!X75)</f>
        <v>0</v>
      </c>
      <c r="P75" s="2346">
        <f>$J75+('12.1.Разходи-увелич.и нам.'!Y75+'12.1.Разходи-увелич.и нам.'!Z75)</f>
        <v>0</v>
      </c>
      <c r="Q75" s="2347">
        <f>'12.1.Разходи-увелич.и нам.'!AA75</f>
        <v>0</v>
      </c>
      <c r="R75" s="2348">
        <f>'12.1.Разходи-увелич.и нам.'!AB75</f>
        <v>0</v>
      </c>
      <c r="S75" s="2345">
        <f>$Q75+('12.1.Разходи-увелич.и нам.'!AC75+'12.1.Разходи-увелич.и нам.'!AD75)</f>
        <v>0</v>
      </c>
      <c r="T75" s="2345">
        <f>$Q75+('12.1.Разходи-увелич.и нам.'!AE75+'12.1.Разходи-увелич.и нам.'!AF75)</f>
        <v>0</v>
      </c>
      <c r="U75" s="2345">
        <f>$Q75+('12.1.Разходи-увелич.и нам.'!AG75+'12.1.Разходи-увелич.и нам.'!AH75)</f>
        <v>0</v>
      </c>
      <c r="V75" s="2345">
        <f>$Q75+('12.1.Разходи-увелич.и нам.'!AI75+'12.1.Разходи-увелич.и нам.'!AJ75)</f>
        <v>0</v>
      </c>
      <c r="W75" s="2346">
        <f>$Q75+('12.1.Разходи-увелич.и нам.'!AK75+'12.1.Разходи-увелич.и нам.'!AL75)</f>
        <v>0</v>
      </c>
      <c r="X75" s="2169"/>
      <c r="Y75" s="2169"/>
      <c r="Z75" s="794"/>
      <c r="AA75" s="781"/>
      <c r="AB75" s="781"/>
      <c r="AC75" s="781"/>
      <c r="AD75" s="790"/>
    </row>
    <row r="76" spans="1:39">
      <c r="A76" s="486" t="s">
        <v>633</v>
      </c>
      <c r="B76" s="1037" t="s">
        <v>338</v>
      </c>
      <c r="C76" s="2347">
        <f>'12.1.Разходи-увелич.и нам.'!C76</f>
        <v>21</v>
      </c>
      <c r="D76" s="2349">
        <f>'12.1.Разходи-увелич.и нам.'!D76</f>
        <v>25</v>
      </c>
      <c r="E76" s="2350">
        <f>$C76+('12.1.Разходи-увелич.и нам.'!E76+'12.1.Разходи-увелич.и нам.'!F76)</f>
        <v>21</v>
      </c>
      <c r="F76" s="2350">
        <f>$C76+('12.1.Разходи-увелич.и нам.'!G76+'12.1.Разходи-увелич.и нам.'!H76)</f>
        <v>21</v>
      </c>
      <c r="G76" s="2350">
        <f>$C76+('12.1.Разходи-увелич.и нам.'!I76+'12.1.Разходи-увелич.и нам.'!J76)</f>
        <v>21</v>
      </c>
      <c r="H76" s="2350">
        <f>$C76+('12.1.Разходи-увелич.и нам.'!K76+'12.1.Разходи-увелич.и нам.'!L76)</f>
        <v>21</v>
      </c>
      <c r="I76" s="1449">
        <f>$C76+('12.1.Разходи-увелич.и нам.'!M76+'12.1.Разходи-увелич.и нам.'!N76)</f>
        <v>21</v>
      </c>
      <c r="J76" s="2347">
        <f>'12.1.Разходи-увелич.и нам.'!O76</f>
        <v>2</v>
      </c>
      <c r="K76" s="2344">
        <f>'12.1.Разходи-увелич.и нам.'!P76</f>
        <v>2</v>
      </c>
      <c r="L76" s="2345">
        <f>$J76+('12.1.Разходи-увелич.и нам.'!Q76+'12.1.Разходи-увелич.и нам.'!R76)</f>
        <v>2</v>
      </c>
      <c r="M76" s="2345">
        <f>$J76+('12.1.Разходи-увелич.и нам.'!S76+'12.1.Разходи-увелич.и нам.'!T76)</f>
        <v>2</v>
      </c>
      <c r="N76" s="2345">
        <f>$J76+('12.1.Разходи-увелич.и нам.'!U76+'12.1.Разходи-увелич.и нам.'!V76)</f>
        <v>2</v>
      </c>
      <c r="O76" s="2345">
        <f>$J76+('12.1.Разходи-увелич.и нам.'!W76+'12.1.Разходи-увелич.и нам.'!X76)</f>
        <v>2</v>
      </c>
      <c r="P76" s="2346">
        <f>$J76+('12.1.Разходи-увелич.и нам.'!Y76+'12.1.Разходи-увелич.и нам.'!Z76)</f>
        <v>2</v>
      </c>
      <c r="Q76" s="2347">
        <f>'12.1.Разходи-увелич.и нам.'!AA76</f>
        <v>1</v>
      </c>
      <c r="R76" s="2348">
        <f>'12.1.Разходи-увелич.и нам.'!AB76</f>
        <v>1</v>
      </c>
      <c r="S76" s="2345">
        <f>$Q76+('12.1.Разходи-увелич.и нам.'!AC76+'12.1.Разходи-увелич.и нам.'!AD76)</f>
        <v>1</v>
      </c>
      <c r="T76" s="2345">
        <f>$Q76+('12.1.Разходи-увелич.и нам.'!AE76+'12.1.Разходи-увелич.и нам.'!AF76)</f>
        <v>1</v>
      </c>
      <c r="U76" s="2345">
        <f>$Q76+('12.1.Разходи-увелич.и нам.'!AG76+'12.1.Разходи-увелич.и нам.'!AH76)</f>
        <v>1</v>
      </c>
      <c r="V76" s="2345">
        <f>$Q76+('12.1.Разходи-увелич.и нам.'!AI76+'12.1.Разходи-увелич.и нам.'!AJ76)</f>
        <v>1</v>
      </c>
      <c r="W76" s="2346">
        <f>$Q76+('12.1.Разходи-увелич.и нам.'!AK76+'12.1.Разходи-увелич.и нам.'!AL76)</f>
        <v>1</v>
      </c>
      <c r="X76" s="2169">
        <v>1</v>
      </c>
      <c r="Y76" s="2169">
        <v>1</v>
      </c>
      <c r="Z76" s="794">
        <v>1</v>
      </c>
      <c r="AA76" s="781">
        <v>1</v>
      </c>
      <c r="AB76" s="781">
        <v>1</v>
      </c>
      <c r="AC76" s="781">
        <v>1</v>
      </c>
      <c r="AD76" s="790">
        <v>1</v>
      </c>
    </row>
    <row r="77" spans="1:39">
      <c r="A77" s="486" t="s">
        <v>634</v>
      </c>
      <c r="B77" s="1043" t="s">
        <v>340</v>
      </c>
      <c r="C77" s="2347">
        <f>'12.1.Разходи-увелич.и нам.'!C77</f>
        <v>27</v>
      </c>
      <c r="D77" s="2349">
        <f>'12.1.Разходи-увелич.и нам.'!D77</f>
        <v>25</v>
      </c>
      <c r="E77" s="2350">
        <f>$C77+('12.1.Разходи-увелич.и нам.'!E77+'12.1.Разходи-увелич.и нам.'!F77)</f>
        <v>27</v>
      </c>
      <c r="F77" s="2350">
        <f>$C77+('12.1.Разходи-увелич.и нам.'!G77+'12.1.Разходи-увелич.и нам.'!H77)</f>
        <v>27</v>
      </c>
      <c r="G77" s="2350">
        <f>$C77+('12.1.Разходи-увелич.и нам.'!I77+'12.1.Разходи-увелич.и нам.'!J77)</f>
        <v>27</v>
      </c>
      <c r="H77" s="2350">
        <f>$C77+('12.1.Разходи-увелич.и нам.'!K77+'12.1.Разходи-увелич.и нам.'!L77)</f>
        <v>33</v>
      </c>
      <c r="I77" s="1449">
        <f>$C77+('12.1.Разходи-увелич.и нам.'!M77+'12.1.Разходи-увелич.и нам.'!N77)</f>
        <v>33</v>
      </c>
      <c r="J77" s="2347">
        <f>'12.1.Разходи-увелич.и нам.'!O77</f>
        <v>3</v>
      </c>
      <c r="K77" s="2344">
        <f>'12.1.Разходи-увелич.и нам.'!P77</f>
        <v>3</v>
      </c>
      <c r="L77" s="2345">
        <f>$J77+('12.1.Разходи-увелич.и нам.'!Q77+'12.1.Разходи-увелич.и нам.'!R77)</f>
        <v>3</v>
      </c>
      <c r="M77" s="2345">
        <f>$J77+('12.1.Разходи-увелич.и нам.'!S77+'12.1.Разходи-увелич.и нам.'!T77)</f>
        <v>3</v>
      </c>
      <c r="N77" s="2345">
        <f>$J77+('12.1.Разходи-увелич.и нам.'!U77+'12.1.Разходи-увелич.и нам.'!V77)</f>
        <v>3</v>
      </c>
      <c r="O77" s="2345">
        <f>$J77+('12.1.Разходи-увелич.и нам.'!W77+'12.1.Разходи-увелич.и нам.'!X77)</f>
        <v>6</v>
      </c>
      <c r="P77" s="2346">
        <f>$J77+('12.1.Разходи-увелич.и нам.'!Y77+'12.1.Разходи-увелич.и нам.'!Z77)</f>
        <v>6</v>
      </c>
      <c r="Q77" s="2347">
        <f>'12.1.Разходи-увелич.и нам.'!AA77</f>
        <v>3</v>
      </c>
      <c r="R77" s="2348">
        <f>'12.1.Разходи-увелич.и нам.'!AB77</f>
        <v>3</v>
      </c>
      <c r="S77" s="2345">
        <f>$Q77+('12.1.Разходи-увелич.и нам.'!AC77+'12.1.Разходи-увелич.и нам.'!AD77)</f>
        <v>3</v>
      </c>
      <c r="T77" s="2345">
        <f>$Q77+('12.1.Разходи-увелич.и нам.'!AE77+'12.1.Разходи-увелич.и нам.'!AF77)</f>
        <v>3</v>
      </c>
      <c r="U77" s="2345">
        <f>$Q77+('12.1.Разходи-увелич.и нам.'!AG77+'12.1.Разходи-увелич.и нам.'!AH77)</f>
        <v>3</v>
      </c>
      <c r="V77" s="2345">
        <f>$Q77+('12.1.Разходи-увелич.и нам.'!AI77+'12.1.Разходи-увелич.и нам.'!AJ77)</f>
        <v>3</v>
      </c>
      <c r="W77" s="2346">
        <f>$Q77+('12.1.Разходи-увелич.и нам.'!AK77+'12.1.Разходи-увелич.и нам.'!AL77)</f>
        <v>3</v>
      </c>
      <c r="X77" s="2169"/>
      <c r="Y77" s="2169"/>
      <c r="Z77" s="794"/>
      <c r="AA77" s="781"/>
      <c r="AB77" s="781"/>
      <c r="AC77" s="781"/>
      <c r="AD77" s="790"/>
    </row>
    <row r="78" spans="1:39">
      <c r="A78" s="486" t="s">
        <v>635</v>
      </c>
      <c r="B78" s="1968" t="s">
        <v>325</v>
      </c>
      <c r="C78" s="2347">
        <f>'12.1.Разходи-увелич.и нам.'!C78</f>
        <v>0</v>
      </c>
      <c r="D78" s="2349">
        <f>'12.1.Разходи-увелич.и нам.'!D78</f>
        <v>0</v>
      </c>
      <c r="E78" s="2350">
        <f>$C78+('12.1.Разходи-увелич.и нам.'!E78+'12.1.Разходи-увелич.и нам.'!F78)</f>
        <v>0</v>
      </c>
      <c r="F78" s="2350">
        <f>$C78+('12.1.Разходи-увелич.и нам.'!G78+'12.1.Разходи-увелич.и нам.'!H78)</f>
        <v>0</v>
      </c>
      <c r="G78" s="2350">
        <f>$C78+('12.1.Разходи-увелич.и нам.'!I78+'12.1.Разходи-увелич.и нам.'!J78)</f>
        <v>0</v>
      </c>
      <c r="H78" s="2350">
        <f>$C78+('12.1.Разходи-увелич.и нам.'!K78+'12.1.Разходи-увелич.и нам.'!L78)</f>
        <v>39</v>
      </c>
      <c r="I78" s="1449">
        <f>$C78+('12.1.Разходи-увелич.и нам.'!M78+'12.1.Разходи-увелич.и нам.'!N78)</f>
        <v>39</v>
      </c>
      <c r="J78" s="2347">
        <f>'12.1.Разходи-увелич.и нам.'!O78</f>
        <v>0</v>
      </c>
      <c r="K78" s="2344">
        <f>'12.1.Разходи-увелич.и нам.'!P78</f>
        <v>0</v>
      </c>
      <c r="L78" s="2345">
        <f>$J78+('12.1.Разходи-увелич.и нам.'!Q78+'12.1.Разходи-увелич.и нам.'!R78)</f>
        <v>0</v>
      </c>
      <c r="M78" s="2345">
        <f>$J78+('12.1.Разходи-увелич.и нам.'!S78+'12.1.Разходи-увелич.и нам.'!T78)</f>
        <v>0</v>
      </c>
      <c r="N78" s="2345">
        <f>$J78+('12.1.Разходи-увелич.и нам.'!U78+'12.1.Разходи-увелич.и нам.'!V78)</f>
        <v>0</v>
      </c>
      <c r="O78" s="2345">
        <f>$J78+('12.1.Разходи-увелич.и нам.'!W78+'12.1.Разходи-увелич.и нам.'!X78)</f>
        <v>2</v>
      </c>
      <c r="P78" s="2346">
        <f>$J78+('12.1.Разходи-увелич.и нам.'!Y78+'12.1.Разходи-увелич.и нам.'!Z78)</f>
        <v>2</v>
      </c>
      <c r="Q78" s="2347">
        <f>'12.1.Разходи-увелич.и нам.'!AA78</f>
        <v>0</v>
      </c>
      <c r="R78" s="2348">
        <f>'12.1.Разходи-увелич.и нам.'!AB78</f>
        <v>0</v>
      </c>
      <c r="S78" s="2345">
        <f>$Q78+('12.1.Разходи-увелич.и нам.'!AC78+'12.1.Разходи-увелич.и нам.'!AD78)</f>
        <v>0</v>
      </c>
      <c r="T78" s="2345">
        <f>$Q78+('12.1.Разходи-увелич.и нам.'!AE78+'12.1.Разходи-увелич.и нам.'!AF78)</f>
        <v>0</v>
      </c>
      <c r="U78" s="2345">
        <f>$Q78+('12.1.Разходи-увелич.и нам.'!AG78+'12.1.Разходи-увелич.и нам.'!AH78)</f>
        <v>0</v>
      </c>
      <c r="V78" s="2345">
        <f>$Q78+('12.1.Разходи-увелич.и нам.'!AI78+'12.1.Разходи-увелич.и нам.'!AJ78)</f>
        <v>0</v>
      </c>
      <c r="W78" s="2346">
        <f>$Q78+('12.1.Разходи-увелич.и нам.'!AK78+'12.1.Разходи-увелич.и нам.'!AL78)</f>
        <v>0</v>
      </c>
      <c r="X78" s="2169"/>
      <c r="Y78" s="2169"/>
      <c r="Z78" s="794"/>
      <c r="AA78" s="781"/>
      <c r="AB78" s="781"/>
      <c r="AC78" s="781"/>
      <c r="AD78" s="790"/>
    </row>
    <row r="79" spans="1:39">
      <c r="A79" s="486" t="s">
        <v>636</v>
      </c>
      <c r="B79" s="1452" t="s">
        <v>302</v>
      </c>
      <c r="C79" s="1093">
        <f>SUM(C80:C83)</f>
        <v>15</v>
      </c>
      <c r="D79" s="1087">
        <f t="shared" ref="D79:AD79" si="15">SUM(D80:D83)</f>
        <v>200</v>
      </c>
      <c r="E79" s="1088">
        <f t="shared" si="15"/>
        <v>15</v>
      </c>
      <c r="F79" s="1089">
        <f t="shared" si="15"/>
        <v>15</v>
      </c>
      <c r="G79" s="1089">
        <f t="shared" si="15"/>
        <v>22</v>
      </c>
      <c r="H79" s="1089">
        <f t="shared" si="15"/>
        <v>61</v>
      </c>
      <c r="I79" s="1090">
        <f t="shared" si="15"/>
        <v>61</v>
      </c>
      <c r="J79" s="1093">
        <f t="shared" si="15"/>
        <v>2</v>
      </c>
      <c r="K79" s="1087">
        <f t="shared" si="15"/>
        <v>23</v>
      </c>
      <c r="L79" s="1088">
        <f t="shared" si="15"/>
        <v>2</v>
      </c>
      <c r="M79" s="1089">
        <f t="shared" si="15"/>
        <v>2</v>
      </c>
      <c r="N79" s="1089">
        <f t="shared" si="15"/>
        <v>2</v>
      </c>
      <c r="O79" s="1089">
        <f t="shared" si="15"/>
        <v>3</v>
      </c>
      <c r="P79" s="1090">
        <f t="shared" si="15"/>
        <v>3</v>
      </c>
      <c r="Q79" s="1093">
        <f t="shared" si="15"/>
        <v>2</v>
      </c>
      <c r="R79" s="1087">
        <f t="shared" si="15"/>
        <v>21</v>
      </c>
      <c r="S79" s="1088">
        <f t="shared" si="15"/>
        <v>2</v>
      </c>
      <c r="T79" s="1089">
        <f t="shared" si="15"/>
        <v>2</v>
      </c>
      <c r="U79" s="1089">
        <f t="shared" si="15"/>
        <v>2</v>
      </c>
      <c r="V79" s="1089">
        <f t="shared" si="15"/>
        <v>2</v>
      </c>
      <c r="W79" s="1090">
        <f t="shared" si="15"/>
        <v>2</v>
      </c>
      <c r="X79" s="1087">
        <f t="shared" si="15"/>
        <v>310</v>
      </c>
      <c r="Y79" s="1087">
        <f t="shared" si="15"/>
        <v>300</v>
      </c>
      <c r="Z79" s="1088">
        <f t="shared" si="15"/>
        <v>300</v>
      </c>
      <c r="AA79" s="1089">
        <f t="shared" si="15"/>
        <v>300</v>
      </c>
      <c r="AB79" s="1089">
        <f t="shared" si="15"/>
        <v>300</v>
      </c>
      <c r="AC79" s="1089">
        <f t="shared" si="15"/>
        <v>300</v>
      </c>
      <c r="AD79" s="1090">
        <f t="shared" si="15"/>
        <v>300</v>
      </c>
    </row>
    <row r="80" spans="1:39" s="359" customFormat="1">
      <c r="A80" s="487" t="s">
        <v>850</v>
      </c>
      <c r="B80" s="781"/>
      <c r="C80" s="2347">
        <f>'12.1.Разходи-увелич.и нам.'!C80</f>
        <v>15</v>
      </c>
      <c r="D80" s="2349">
        <f>'12.1.Разходи-увелич.и нам.'!D80</f>
        <v>200</v>
      </c>
      <c r="E80" s="2350">
        <f>$C80+('12.1.Разходи-увелич.и нам.'!E80+'12.1.Разходи-увелич.и нам.'!F80)</f>
        <v>15</v>
      </c>
      <c r="F80" s="2350">
        <f>$C80+('12.1.Разходи-увелич.и нам.'!G80+'12.1.Разходи-увелич.и нам.'!H80)</f>
        <v>15</v>
      </c>
      <c r="G80" s="2350">
        <f>$C80+('12.1.Разходи-увелич.и нам.'!I80+'12.1.Разходи-увелич.и нам.'!J80)</f>
        <v>22</v>
      </c>
      <c r="H80" s="2350">
        <f>$C80+('12.1.Разходи-увелич.и нам.'!K80+'12.1.Разходи-увелич.и нам.'!L80)</f>
        <v>61</v>
      </c>
      <c r="I80" s="1449">
        <f>$C80+('12.1.Разходи-увелич.и нам.'!M80+'12.1.Разходи-увелич.и нам.'!N80)</f>
        <v>61</v>
      </c>
      <c r="J80" s="2347">
        <f>'12.1.Разходи-увелич.и нам.'!O80</f>
        <v>2</v>
      </c>
      <c r="K80" s="2344">
        <f>'12.1.Разходи-увелич.и нам.'!P80</f>
        <v>23</v>
      </c>
      <c r="L80" s="2345">
        <f>$J80+('12.1.Разходи-увелич.и нам.'!Q80+'12.1.Разходи-увелич.и нам.'!R80)</f>
        <v>2</v>
      </c>
      <c r="M80" s="2345">
        <f>$J80+('12.1.Разходи-увелич.и нам.'!S80+'12.1.Разходи-увелич.и нам.'!T80)</f>
        <v>2</v>
      </c>
      <c r="N80" s="2345">
        <f>$J80+('12.1.Разходи-увелич.и нам.'!U80+'12.1.Разходи-увелич.и нам.'!V80)</f>
        <v>2</v>
      </c>
      <c r="O80" s="2345">
        <f>$J80+('12.1.Разходи-увелич.и нам.'!W80+'12.1.Разходи-увелич.и нам.'!X80)</f>
        <v>3</v>
      </c>
      <c r="P80" s="2346">
        <f>$J80+('12.1.Разходи-увелич.и нам.'!Y80+'12.1.Разходи-увелич.и нам.'!Z80)</f>
        <v>3</v>
      </c>
      <c r="Q80" s="2347">
        <f>'12.1.Разходи-увелич.и нам.'!AA80</f>
        <v>2</v>
      </c>
      <c r="R80" s="2348">
        <f>'12.1.Разходи-увелич.и нам.'!AB80</f>
        <v>21</v>
      </c>
      <c r="S80" s="2345">
        <f>$Q80+('12.1.Разходи-увелич.и нам.'!AC80+'12.1.Разходи-увелич.и нам.'!AD80)</f>
        <v>2</v>
      </c>
      <c r="T80" s="2345">
        <f>$Q80+('12.1.Разходи-увелич.и нам.'!AE80+'12.1.Разходи-увелич.и нам.'!AF80)</f>
        <v>2</v>
      </c>
      <c r="U80" s="2345">
        <f>$Q80+('12.1.Разходи-увелич.и нам.'!AG80+'12.1.Разходи-увелич.и нам.'!AH80)</f>
        <v>2</v>
      </c>
      <c r="V80" s="2345">
        <f>$Q80+('12.1.Разходи-увелич.и нам.'!AI80+'12.1.Разходи-увелич.и нам.'!AJ80)</f>
        <v>2</v>
      </c>
      <c r="W80" s="2346">
        <f>$Q80+('12.1.Разходи-увелич.и нам.'!AK80+'12.1.Разходи-увелич.и нам.'!AL80)</f>
        <v>2</v>
      </c>
      <c r="X80" s="2169">
        <v>310</v>
      </c>
      <c r="Y80" s="2169">
        <v>300</v>
      </c>
      <c r="Z80" s="794">
        <v>300</v>
      </c>
      <c r="AA80" s="781">
        <v>300</v>
      </c>
      <c r="AB80" s="781">
        <v>300</v>
      </c>
      <c r="AC80" s="781">
        <v>300</v>
      </c>
      <c r="AD80" s="790">
        <v>300</v>
      </c>
      <c r="AE80" s="357"/>
      <c r="AF80" s="357"/>
      <c r="AG80" s="357"/>
      <c r="AH80" s="357"/>
      <c r="AI80" s="357"/>
      <c r="AJ80" s="357"/>
      <c r="AK80" s="357"/>
      <c r="AL80" s="357"/>
      <c r="AM80" s="357"/>
    </row>
    <row r="81" spans="1:39" s="359" customFormat="1">
      <c r="A81" s="487" t="s">
        <v>851</v>
      </c>
      <c r="B81" s="781"/>
      <c r="C81" s="2347">
        <f>'12.1.Разходи-увелич.и нам.'!C81</f>
        <v>0</v>
      </c>
      <c r="D81" s="2349">
        <f>'12.1.Разходи-увелич.и нам.'!D81</f>
        <v>0</v>
      </c>
      <c r="E81" s="2350">
        <f>$C81+('12.1.Разходи-увелич.и нам.'!E81+'12.1.Разходи-увелич.и нам.'!F81)</f>
        <v>0</v>
      </c>
      <c r="F81" s="2350">
        <f>$C81+('12.1.Разходи-увелич.и нам.'!G81+'12.1.Разходи-увелич.и нам.'!H81)</f>
        <v>0</v>
      </c>
      <c r="G81" s="2350">
        <f>$C81+('12.1.Разходи-увелич.и нам.'!I81+'12.1.Разходи-увелич.и нам.'!J81)</f>
        <v>0</v>
      </c>
      <c r="H81" s="2350">
        <f>$C81+('12.1.Разходи-увелич.и нам.'!K81+'12.1.Разходи-увелич.и нам.'!L81)</f>
        <v>0</v>
      </c>
      <c r="I81" s="1449">
        <f>$C81+('12.1.Разходи-увелич.и нам.'!M81+'12.1.Разходи-увелич.и нам.'!N81)</f>
        <v>0</v>
      </c>
      <c r="J81" s="2347">
        <f>'12.1.Разходи-увелич.и нам.'!O81</f>
        <v>0</v>
      </c>
      <c r="K81" s="2344">
        <f>'12.1.Разходи-увелич.и нам.'!P81</f>
        <v>0</v>
      </c>
      <c r="L81" s="2345">
        <f>$J81+('12.1.Разходи-увелич.и нам.'!Q81+'12.1.Разходи-увелич.и нам.'!R81)</f>
        <v>0</v>
      </c>
      <c r="M81" s="2345">
        <f>$J81+('12.1.Разходи-увелич.и нам.'!S81+'12.1.Разходи-увелич.и нам.'!T81)</f>
        <v>0</v>
      </c>
      <c r="N81" s="2345">
        <f>$J81+('12.1.Разходи-увелич.и нам.'!U81+'12.1.Разходи-увелич.и нам.'!V81)</f>
        <v>0</v>
      </c>
      <c r="O81" s="2345">
        <f>$J81+('12.1.Разходи-увелич.и нам.'!W81+'12.1.Разходи-увелич.и нам.'!X81)</f>
        <v>0</v>
      </c>
      <c r="P81" s="2346">
        <f>$J81+('12.1.Разходи-увелич.и нам.'!Y81+'12.1.Разходи-увелич.и нам.'!Z81)</f>
        <v>0</v>
      </c>
      <c r="Q81" s="2347">
        <f>'12.1.Разходи-увелич.и нам.'!AA81</f>
        <v>0</v>
      </c>
      <c r="R81" s="2348">
        <f>'12.1.Разходи-увелич.и нам.'!AB81</f>
        <v>0</v>
      </c>
      <c r="S81" s="2345">
        <f>$Q81+('12.1.Разходи-увелич.и нам.'!AC81+'12.1.Разходи-увелич.и нам.'!AD81)</f>
        <v>0</v>
      </c>
      <c r="T81" s="2345">
        <f>$Q81+('12.1.Разходи-увелич.и нам.'!AE81+'12.1.Разходи-увелич.и нам.'!AF81)</f>
        <v>0</v>
      </c>
      <c r="U81" s="2345">
        <f>$Q81+('12.1.Разходи-увелич.и нам.'!AG81+'12.1.Разходи-увелич.и нам.'!AH81)</f>
        <v>0</v>
      </c>
      <c r="V81" s="2345">
        <f>$Q81+('12.1.Разходи-увелич.и нам.'!AI81+'12.1.Разходи-увелич.и нам.'!AJ81)</f>
        <v>0</v>
      </c>
      <c r="W81" s="2346">
        <f>$Q81+('12.1.Разходи-увелич.и нам.'!AK81+'12.1.Разходи-увелич.и нам.'!AL81)</f>
        <v>0</v>
      </c>
      <c r="X81" s="2169"/>
      <c r="Y81" s="2169"/>
      <c r="Z81" s="794"/>
      <c r="AA81" s="781"/>
      <c r="AB81" s="781"/>
      <c r="AC81" s="781"/>
      <c r="AD81" s="790"/>
      <c r="AE81" s="357"/>
      <c r="AF81" s="357"/>
      <c r="AG81" s="357"/>
      <c r="AH81" s="357"/>
      <c r="AI81" s="357"/>
      <c r="AJ81" s="357"/>
      <c r="AK81" s="357"/>
      <c r="AL81" s="357"/>
      <c r="AM81" s="357"/>
    </row>
    <row r="82" spans="1:39" s="359" customFormat="1">
      <c r="A82" s="487" t="s">
        <v>852</v>
      </c>
      <c r="B82" s="781"/>
      <c r="C82" s="2347">
        <f>'12.1.Разходи-увелич.и нам.'!C82</f>
        <v>0</v>
      </c>
      <c r="D82" s="2349">
        <f>'12.1.Разходи-увелич.и нам.'!D82</f>
        <v>0</v>
      </c>
      <c r="E82" s="2350">
        <f>$C82+('12.1.Разходи-увелич.и нам.'!E82+'12.1.Разходи-увелич.и нам.'!F82)</f>
        <v>0</v>
      </c>
      <c r="F82" s="2350">
        <f>$C82+('12.1.Разходи-увелич.и нам.'!G82+'12.1.Разходи-увелич.и нам.'!H82)</f>
        <v>0</v>
      </c>
      <c r="G82" s="2350">
        <f>$C82+('12.1.Разходи-увелич.и нам.'!I82+'12.1.Разходи-увелич.и нам.'!J82)</f>
        <v>0</v>
      </c>
      <c r="H82" s="2350">
        <f>$C82+('12.1.Разходи-увелич.и нам.'!K82+'12.1.Разходи-увелич.и нам.'!L82)</f>
        <v>0</v>
      </c>
      <c r="I82" s="1449">
        <f>$C82+('12.1.Разходи-увелич.и нам.'!M82+'12.1.Разходи-увелич.и нам.'!N82)</f>
        <v>0</v>
      </c>
      <c r="J82" s="2347">
        <f>'12.1.Разходи-увелич.и нам.'!O82</f>
        <v>0</v>
      </c>
      <c r="K82" s="2344">
        <f>'12.1.Разходи-увелич.и нам.'!P82</f>
        <v>0</v>
      </c>
      <c r="L82" s="2345">
        <f>$J82+('12.1.Разходи-увелич.и нам.'!Q82+'12.1.Разходи-увелич.и нам.'!R82)</f>
        <v>0</v>
      </c>
      <c r="M82" s="2345">
        <f>$J82+('12.1.Разходи-увелич.и нам.'!S82+'12.1.Разходи-увелич.и нам.'!T82)</f>
        <v>0</v>
      </c>
      <c r="N82" s="2345">
        <f>$J82+('12.1.Разходи-увелич.и нам.'!U82+'12.1.Разходи-увелич.и нам.'!V82)</f>
        <v>0</v>
      </c>
      <c r="O82" s="2345">
        <f>$J82+('12.1.Разходи-увелич.и нам.'!W82+'12.1.Разходи-увелич.и нам.'!X82)</f>
        <v>0</v>
      </c>
      <c r="P82" s="2346">
        <f>$J82+('12.1.Разходи-увелич.и нам.'!Y82+'12.1.Разходи-увелич.и нам.'!Z82)</f>
        <v>0</v>
      </c>
      <c r="Q82" s="2347">
        <f>'12.1.Разходи-увелич.и нам.'!AA82</f>
        <v>0</v>
      </c>
      <c r="R82" s="2348">
        <f>'12.1.Разходи-увелич.и нам.'!AB82</f>
        <v>0</v>
      </c>
      <c r="S82" s="2345">
        <f>$Q82+('12.1.Разходи-увелич.и нам.'!AC82+'12.1.Разходи-увелич.и нам.'!AD82)</f>
        <v>0</v>
      </c>
      <c r="T82" s="2345">
        <f>$Q82+('12.1.Разходи-увелич.и нам.'!AE82+'12.1.Разходи-увелич.и нам.'!AF82)</f>
        <v>0</v>
      </c>
      <c r="U82" s="2345">
        <f>$Q82+('12.1.Разходи-увелич.и нам.'!AG82+'12.1.Разходи-увелич.и нам.'!AH82)</f>
        <v>0</v>
      </c>
      <c r="V82" s="2345">
        <f>$Q82+('12.1.Разходи-увелич.и нам.'!AI82+'12.1.Разходи-увелич.и нам.'!AJ82)</f>
        <v>0</v>
      </c>
      <c r="W82" s="2346">
        <f>$Q82+('12.1.Разходи-увелич.и нам.'!AK82+'12.1.Разходи-увелич.и нам.'!AL82)</f>
        <v>0</v>
      </c>
      <c r="X82" s="2169"/>
      <c r="Y82" s="2169"/>
      <c r="Z82" s="794"/>
      <c r="AA82" s="781"/>
      <c r="AB82" s="781"/>
      <c r="AC82" s="781"/>
      <c r="AD82" s="790"/>
      <c r="AE82" s="357"/>
      <c r="AF82" s="357"/>
      <c r="AG82" s="357"/>
      <c r="AH82" s="357"/>
      <c r="AI82" s="357"/>
      <c r="AJ82" s="357"/>
      <c r="AK82" s="357"/>
      <c r="AL82" s="357"/>
      <c r="AM82" s="357"/>
    </row>
    <row r="83" spans="1:39" s="359" customFormat="1" ht="15.75" thickBot="1">
      <c r="A83" s="488" t="s">
        <v>853</v>
      </c>
      <c r="B83" s="781"/>
      <c r="C83" s="2347">
        <f>'12.1.Разходи-увелич.и нам.'!C83</f>
        <v>0</v>
      </c>
      <c r="D83" s="2349">
        <f>'12.1.Разходи-увелич.и нам.'!D83</f>
        <v>0</v>
      </c>
      <c r="E83" s="2350">
        <f>$C83+('12.1.Разходи-увелич.и нам.'!E83+'12.1.Разходи-увелич.и нам.'!F83)</f>
        <v>0</v>
      </c>
      <c r="F83" s="2350">
        <f>$C83+('12.1.Разходи-увелич.и нам.'!G83+'12.1.Разходи-увелич.и нам.'!H83)</f>
        <v>0</v>
      </c>
      <c r="G83" s="2350">
        <f>$C83+('12.1.Разходи-увелич.и нам.'!I83+'12.1.Разходи-увелич.и нам.'!J83)</f>
        <v>0</v>
      </c>
      <c r="H83" s="2350">
        <f>$C83+('12.1.Разходи-увелич.и нам.'!K83+'12.1.Разходи-увелич.и нам.'!L83)</f>
        <v>0</v>
      </c>
      <c r="I83" s="1449">
        <f>$C83+('12.1.Разходи-увелич.и нам.'!M83+'12.1.Разходи-увелич.и нам.'!N83)</f>
        <v>0</v>
      </c>
      <c r="J83" s="2347">
        <f>'12.1.Разходи-увелич.и нам.'!O83</f>
        <v>0</v>
      </c>
      <c r="K83" s="2344">
        <f>'12.1.Разходи-увелич.и нам.'!P83</f>
        <v>0</v>
      </c>
      <c r="L83" s="2345">
        <f>$J83+('12.1.Разходи-увелич.и нам.'!Q83+'12.1.Разходи-увелич.и нам.'!R83)</f>
        <v>0</v>
      </c>
      <c r="M83" s="2345">
        <f>$J83+('12.1.Разходи-увелич.и нам.'!S83+'12.1.Разходи-увелич.и нам.'!T83)</f>
        <v>0</v>
      </c>
      <c r="N83" s="2345">
        <f>$J83+('12.1.Разходи-увелич.и нам.'!U83+'12.1.Разходи-увелич.и нам.'!V83)</f>
        <v>0</v>
      </c>
      <c r="O83" s="2345">
        <f>$J83+('12.1.Разходи-увелич.и нам.'!W83+'12.1.Разходи-увелич.и нам.'!X83)</f>
        <v>0</v>
      </c>
      <c r="P83" s="2346">
        <f>$J83+('12.1.Разходи-увелич.и нам.'!Y83+'12.1.Разходи-увелич.и нам.'!Z83)</f>
        <v>0</v>
      </c>
      <c r="Q83" s="2347">
        <f>'12.1.Разходи-увелич.и нам.'!AA83</f>
        <v>0</v>
      </c>
      <c r="R83" s="2348">
        <f>'12.1.Разходи-увелич.и нам.'!AB83</f>
        <v>0</v>
      </c>
      <c r="S83" s="2345">
        <f>$Q83+('12.1.Разходи-увелич.и нам.'!AC83+'12.1.Разходи-увелич.и нам.'!AD83)</f>
        <v>0</v>
      </c>
      <c r="T83" s="2345">
        <f>$Q83+('12.1.Разходи-увелич.и нам.'!AE83+'12.1.Разходи-увелич.и нам.'!AF83)</f>
        <v>0</v>
      </c>
      <c r="U83" s="2345">
        <f>$Q83+('12.1.Разходи-увелич.и нам.'!AG83+'12.1.Разходи-увелич.и нам.'!AH83)</f>
        <v>0</v>
      </c>
      <c r="V83" s="2345">
        <f>$Q83+('12.1.Разходи-увелич.и нам.'!AI83+'12.1.Разходи-увелич.и нам.'!AJ83)</f>
        <v>0</v>
      </c>
      <c r="W83" s="2346">
        <f>$Q83+('12.1.Разходи-увелич.и нам.'!AK83+'12.1.Разходи-увелич.и нам.'!AL83)</f>
        <v>0</v>
      </c>
      <c r="X83" s="2170"/>
      <c r="Y83" s="2170"/>
      <c r="Z83" s="2171"/>
      <c r="AA83" s="2172"/>
      <c r="AB83" s="2172"/>
      <c r="AC83" s="2172"/>
      <c r="AD83" s="2165"/>
      <c r="AE83" s="357"/>
      <c r="AF83" s="357"/>
      <c r="AG83" s="357"/>
      <c r="AH83" s="357"/>
      <c r="AI83" s="357"/>
      <c r="AJ83" s="357"/>
      <c r="AK83" s="357"/>
      <c r="AL83" s="357"/>
      <c r="AM83" s="357"/>
    </row>
    <row r="84" spans="1:39" ht="15.75" thickBot="1">
      <c r="A84" s="3589" t="s">
        <v>342</v>
      </c>
      <c r="B84" s="3590"/>
      <c r="C84" s="1990">
        <f t="shared" ref="C84:AD84" si="16">C11+C28+C53+C57+C61+C66+C72</f>
        <v>10741</v>
      </c>
      <c r="D84" s="1052">
        <f t="shared" si="16"/>
        <v>11751.65</v>
      </c>
      <c r="E84" s="1076">
        <f t="shared" si="16"/>
        <v>11569.740501294102</v>
      </c>
      <c r="F84" s="1077">
        <f t="shared" si="16"/>
        <v>12228.00499166493</v>
      </c>
      <c r="G84" s="1077">
        <f t="shared" si="16"/>
        <v>12581.357786896751</v>
      </c>
      <c r="H84" s="1079">
        <f t="shared" si="16"/>
        <v>15371.312513235513</v>
      </c>
      <c r="I84" s="1078">
        <f t="shared" si="16"/>
        <v>15295.139610961598</v>
      </c>
      <c r="J84" s="1990">
        <f t="shared" si="16"/>
        <v>832.27199999999993</v>
      </c>
      <c r="K84" s="1052">
        <f t="shared" si="16"/>
        <v>999.16700000000003</v>
      </c>
      <c r="L84" s="1096">
        <f t="shared" si="16"/>
        <v>931.64349502792538</v>
      </c>
      <c r="M84" s="1077">
        <f t="shared" si="16"/>
        <v>1163.2868453844551</v>
      </c>
      <c r="N84" s="1077">
        <f t="shared" si="16"/>
        <v>1690.5885774248181</v>
      </c>
      <c r="O84" s="1077">
        <f t="shared" si="16"/>
        <v>2166.87369212258</v>
      </c>
      <c r="P84" s="1233">
        <f t="shared" si="16"/>
        <v>2165.4331395581198</v>
      </c>
      <c r="Q84" s="1990">
        <f t="shared" si="16"/>
        <v>1583.42</v>
      </c>
      <c r="R84" s="1052">
        <f t="shared" si="16"/>
        <v>1740.52</v>
      </c>
      <c r="S84" s="1076">
        <f t="shared" si="16"/>
        <v>1659.2130036779731</v>
      </c>
      <c r="T84" s="1077">
        <f t="shared" si="16"/>
        <v>1861.4901629506148</v>
      </c>
      <c r="U84" s="1077">
        <f t="shared" si="16"/>
        <v>2412.9476356784303</v>
      </c>
      <c r="V84" s="1077">
        <f t="shared" si="16"/>
        <v>2496.2187946419062</v>
      </c>
      <c r="W84" s="1233">
        <f t="shared" si="16"/>
        <v>2526.8032494802828</v>
      </c>
      <c r="X84" s="1052">
        <f t="shared" si="16"/>
        <v>934</v>
      </c>
      <c r="Y84" s="1052">
        <f t="shared" si="16"/>
        <v>908</v>
      </c>
      <c r="Z84" s="1076">
        <f t="shared" si="16"/>
        <v>918</v>
      </c>
      <c r="AA84" s="1077">
        <f t="shared" si="16"/>
        <v>920</v>
      </c>
      <c r="AB84" s="1077">
        <f t="shared" si="16"/>
        <v>923</v>
      </c>
      <c r="AC84" s="1079">
        <f t="shared" si="16"/>
        <v>925</v>
      </c>
      <c r="AD84" s="1078">
        <f t="shared" si="16"/>
        <v>927</v>
      </c>
    </row>
    <row r="85" spans="1:39" ht="15.75" thickBot="1">
      <c r="A85" s="3589" t="s">
        <v>637</v>
      </c>
      <c r="B85" s="3590"/>
      <c r="C85" s="1992"/>
      <c r="D85" s="1097"/>
      <c r="E85" s="1996">
        <f>'12.1.Разходи-увелич.и нам.'!E84+'12.1.Разходи-увелич.и нам.'!F84</f>
        <v>507</v>
      </c>
      <c r="F85" s="1098">
        <f>'12.1.Разходи-увелич.и нам.'!G84+'12.1.Разходи-увелич.и нам.'!H84</f>
        <v>587.245</v>
      </c>
      <c r="G85" s="1098">
        <f>'12.1.Разходи-увелич.и нам.'!I84+'12.1.Разходи-увелич.и нам.'!J84</f>
        <v>862.31600000000003</v>
      </c>
      <c r="H85" s="1099">
        <f>'12.1.Разходи-увелич.и нам.'!K84+'12.1.Разходи-увелич.и нам.'!L84</f>
        <v>3303.422</v>
      </c>
      <c r="I85" s="1100">
        <f>'12.1.Разходи-увелич.и нам.'!M84+'12.1.Разходи-увелич.и нам.'!N84</f>
        <v>3403.5830000000001</v>
      </c>
      <c r="J85" s="1992"/>
      <c r="K85" s="1097"/>
      <c r="L85" s="1999">
        <f>'12.1.Разходи-увелич.и нам.'!Q84+'12.1.Разходи-увелич.и нам.'!R84</f>
        <v>47.954999999999998</v>
      </c>
      <c r="M85" s="1098">
        <f>'12.1.Разходи-увелич.и нам.'!S84+'12.1.Разходи-увелич.и нам.'!T84</f>
        <v>60.954999999999998</v>
      </c>
      <c r="N85" s="1098">
        <f>'12.1.Разходи-увелич.и нам.'!U84+'12.1.Разходи-увелич.и нам.'!V84</f>
        <v>109.95099999999999</v>
      </c>
      <c r="O85" s="1098">
        <f>'12.1.Разходи-увелич.и нам.'!W84+'12.1.Разходи-увелич.и нам.'!X84</f>
        <v>288.95100000000002</v>
      </c>
      <c r="P85" s="1967">
        <f>'12.1.Разходи-увелич.и нам.'!Y84+'12.1.Разходи-увелич.и нам.'!Z84</f>
        <v>300.45100000000002</v>
      </c>
      <c r="Q85" s="1992"/>
      <c r="R85" s="1097"/>
      <c r="S85" s="1996">
        <f>'12.1.Разходи-увелич.и нам.'!AC84+'12.1.Разходи-увелич.и нам.'!AD84</f>
        <v>38</v>
      </c>
      <c r="T85" s="1098">
        <f>'12.1.Разходи-увелич.и нам.'!AE84+'12.1.Разходи-увелич.и нам.'!AF84</f>
        <v>103.42</v>
      </c>
      <c r="U85" s="1098">
        <f>'12.1.Разходи-увелич.и нам.'!AG84+'12.1.Разходи-увелич.и нам.'!AH84</f>
        <v>711.46</v>
      </c>
      <c r="V85" s="1098">
        <f>'12.1.Разходи-увелич.и нам.'!AI84+'12.1.Разходи-увелич.и нам.'!AJ84</f>
        <v>837.5</v>
      </c>
      <c r="W85" s="1967">
        <f>'12.1.Разходи-увелич.и нам.'!AK84+'12.1.Разходи-увелич.и нам.'!AL84</f>
        <v>865.6</v>
      </c>
      <c r="X85" s="2002"/>
      <c r="Y85" s="2002"/>
      <c r="Z85" s="2001"/>
      <c r="AA85" s="1101"/>
      <c r="AB85" s="1101"/>
      <c r="AC85" s="1101"/>
      <c r="AD85" s="1102"/>
    </row>
    <row r="86" spans="1:39" s="505" customFormat="1" ht="15.75" thickBot="1">
      <c r="A86" s="1969"/>
      <c r="B86" s="1970" t="s">
        <v>854</v>
      </c>
      <c r="C86" s="1993">
        <f t="shared" ref="C86:AD86" si="17">C23+C46+C59+C63+C65</f>
        <v>1245</v>
      </c>
      <c r="D86" s="1103">
        <f t="shared" si="17"/>
        <v>1267</v>
      </c>
      <c r="E86" s="1104">
        <f t="shared" si="17"/>
        <v>1253</v>
      </c>
      <c r="F86" s="1105">
        <f t="shared" si="17"/>
        <v>1217</v>
      </c>
      <c r="G86" s="1105">
        <f t="shared" si="17"/>
        <v>1236</v>
      </c>
      <c r="H86" s="1105">
        <f t="shared" si="17"/>
        <v>1352</v>
      </c>
      <c r="I86" s="1106">
        <f t="shared" si="17"/>
        <v>1300</v>
      </c>
      <c r="J86" s="1993">
        <f t="shared" si="17"/>
        <v>112</v>
      </c>
      <c r="K86" s="1103">
        <f t="shared" si="17"/>
        <v>124</v>
      </c>
      <c r="L86" s="1104">
        <f t="shared" si="17"/>
        <v>137</v>
      </c>
      <c r="M86" s="1105">
        <f t="shared" si="17"/>
        <v>138</v>
      </c>
      <c r="N86" s="1105">
        <f t="shared" si="17"/>
        <v>145</v>
      </c>
      <c r="O86" s="1105">
        <f t="shared" si="17"/>
        <v>164</v>
      </c>
      <c r="P86" s="1106">
        <f t="shared" si="17"/>
        <v>160</v>
      </c>
      <c r="Q86" s="1993">
        <f t="shared" si="17"/>
        <v>88</v>
      </c>
      <c r="R86" s="1103">
        <f t="shared" si="17"/>
        <v>85</v>
      </c>
      <c r="S86" s="1104">
        <f t="shared" si="17"/>
        <v>88</v>
      </c>
      <c r="T86" s="1105">
        <f t="shared" si="17"/>
        <v>87</v>
      </c>
      <c r="U86" s="1105">
        <f t="shared" si="17"/>
        <v>78</v>
      </c>
      <c r="V86" s="1105">
        <f t="shared" si="17"/>
        <v>78</v>
      </c>
      <c r="W86" s="1106">
        <f t="shared" si="17"/>
        <v>81</v>
      </c>
      <c r="X86" s="1103">
        <f t="shared" si="17"/>
        <v>50</v>
      </c>
      <c r="Y86" s="1103">
        <f t="shared" si="17"/>
        <v>50</v>
      </c>
      <c r="Z86" s="1104">
        <f t="shared" si="17"/>
        <v>50</v>
      </c>
      <c r="AA86" s="1105">
        <f t="shared" si="17"/>
        <v>50</v>
      </c>
      <c r="AB86" s="1105">
        <f t="shared" si="17"/>
        <v>50</v>
      </c>
      <c r="AC86" s="1105">
        <f t="shared" si="17"/>
        <v>50</v>
      </c>
      <c r="AD86" s="1106">
        <f t="shared" si="17"/>
        <v>50</v>
      </c>
      <c r="AE86" s="351"/>
      <c r="AF86" s="351"/>
      <c r="AG86" s="351"/>
      <c r="AH86" s="351"/>
      <c r="AI86" s="351"/>
      <c r="AJ86" s="351"/>
      <c r="AK86" s="351"/>
      <c r="AL86" s="351"/>
      <c r="AM86" s="351"/>
    </row>
    <row r="87" spans="1:39" s="505" customFormat="1" ht="15.75" customHeight="1" thickBot="1">
      <c r="A87" s="1969"/>
      <c r="B87" s="1970" t="s">
        <v>855</v>
      </c>
      <c r="C87" s="1994">
        <f t="shared" ref="C87:AD87" si="18">C12+C17+C19+C30+(C47+C48)+(C68+C69+C70)</f>
        <v>890</v>
      </c>
      <c r="D87" s="1107">
        <f t="shared" si="18"/>
        <v>842</v>
      </c>
      <c r="E87" s="1997">
        <f t="shared" si="18"/>
        <v>1026</v>
      </c>
      <c r="F87" s="1108">
        <f t="shared" si="18"/>
        <v>981.245</v>
      </c>
      <c r="G87" s="1108">
        <f t="shared" si="18"/>
        <v>991.31600000000003</v>
      </c>
      <c r="H87" s="1108">
        <f t="shared" si="18"/>
        <v>1483.422</v>
      </c>
      <c r="I87" s="1109">
        <f t="shared" si="18"/>
        <v>1427.5830000000001</v>
      </c>
      <c r="J87" s="1994">
        <f t="shared" si="18"/>
        <v>41.271999999999998</v>
      </c>
      <c r="K87" s="1107">
        <f t="shared" si="18"/>
        <v>41.226999999999997</v>
      </c>
      <c r="L87" s="1997">
        <f t="shared" si="18"/>
        <v>41.226999999999997</v>
      </c>
      <c r="M87" s="1108">
        <f t="shared" si="18"/>
        <v>41.226999999999997</v>
      </c>
      <c r="N87" s="1108">
        <f t="shared" si="18"/>
        <v>41.222999999999999</v>
      </c>
      <c r="O87" s="1108">
        <f t="shared" si="18"/>
        <v>42.222999999999999</v>
      </c>
      <c r="P87" s="1109">
        <f t="shared" si="18"/>
        <v>42.222999999999999</v>
      </c>
      <c r="Q87" s="1994">
        <f t="shared" si="18"/>
        <v>350</v>
      </c>
      <c r="R87" s="1107">
        <f t="shared" si="18"/>
        <v>315</v>
      </c>
      <c r="S87" s="1997">
        <f t="shared" si="18"/>
        <v>342</v>
      </c>
      <c r="T87" s="1108">
        <f t="shared" si="18"/>
        <v>365.42</v>
      </c>
      <c r="U87" s="1108">
        <f t="shared" si="18"/>
        <v>643.46</v>
      </c>
      <c r="V87" s="1108">
        <f t="shared" si="18"/>
        <v>698.5</v>
      </c>
      <c r="W87" s="1109">
        <f t="shared" si="18"/>
        <v>683.6</v>
      </c>
      <c r="X87" s="1107">
        <f t="shared" si="18"/>
        <v>8</v>
      </c>
      <c r="Y87" s="1107">
        <f t="shared" si="18"/>
        <v>10</v>
      </c>
      <c r="Z87" s="1997">
        <f t="shared" si="18"/>
        <v>10</v>
      </c>
      <c r="AA87" s="1108">
        <f t="shared" si="18"/>
        <v>10</v>
      </c>
      <c r="AB87" s="1108">
        <f t="shared" si="18"/>
        <v>10</v>
      </c>
      <c r="AC87" s="1108">
        <f t="shared" si="18"/>
        <v>10</v>
      </c>
      <c r="AD87" s="1109">
        <f t="shared" si="18"/>
        <v>10</v>
      </c>
      <c r="AE87" s="351"/>
      <c r="AF87" s="351"/>
      <c r="AG87" s="351"/>
      <c r="AH87" s="351"/>
      <c r="AI87" s="351"/>
      <c r="AJ87" s="351"/>
      <c r="AK87" s="351"/>
      <c r="AL87" s="351"/>
      <c r="AM87" s="351"/>
    </row>
    <row r="88" spans="1:39" ht="15.75" thickBot="1">
      <c r="A88" s="2682"/>
      <c r="B88" s="2682"/>
      <c r="C88" s="2683"/>
      <c r="D88" s="2684"/>
      <c r="E88" s="2684"/>
      <c r="F88" s="2684"/>
      <c r="G88" s="2684"/>
      <c r="H88" s="2684"/>
      <c r="I88" s="2685"/>
      <c r="J88" s="2686"/>
      <c r="K88" s="2686"/>
      <c r="L88" s="2686"/>
      <c r="M88" s="2686"/>
      <c r="N88" s="2686"/>
      <c r="O88" s="2686"/>
      <c r="P88" s="2686"/>
      <c r="Q88" s="2686"/>
      <c r="R88" s="2686"/>
      <c r="S88" s="2686"/>
      <c r="T88" s="2686"/>
      <c r="U88" s="2686"/>
      <c r="V88" s="2686"/>
      <c r="W88" s="2687"/>
    </row>
    <row r="89" spans="1:39">
      <c r="A89" s="2682"/>
      <c r="B89" s="3598" t="s">
        <v>1245</v>
      </c>
      <c r="C89" s="3591" t="s">
        <v>270</v>
      </c>
      <c r="D89" s="3592"/>
      <c r="E89" s="3592"/>
      <c r="F89" s="3592"/>
      <c r="G89" s="3592"/>
      <c r="H89" s="3592"/>
      <c r="I89" s="3593"/>
      <c r="J89" s="3594" t="s">
        <v>271</v>
      </c>
      <c r="K89" s="3595"/>
      <c r="L89" s="3595"/>
      <c r="M89" s="3595"/>
      <c r="N89" s="3595"/>
      <c r="O89" s="3595"/>
      <c r="P89" s="3596"/>
      <c r="Q89" s="3597" t="s">
        <v>272</v>
      </c>
      <c r="R89" s="3595"/>
      <c r="S89" s="3595"/>
      <c r="T89" s="3595"/>
      <c r="U89" s="3595"/>
      <c r="V89" s="3595"/>
      <c r="W89" s="3596"/>
    </row>
    <row r="90" spans="1:39" ht="15.75" thickBot="1">
      <c r="A90" s="2682"/>
      <c r="B90" s="3599"/>
      <c r="C90" s="2688" t="str">
        <f t="shared" ref="C90:W90" si="19">C10</f>
        <v>2015 г.</v>
      </c>
      <c r="D90" s="2689" t="str">
        <f t="shared" si="19"/>
        <v>2016 г.</v>
      </c>
      <c r="E90" s="2689" t="str">
        <f t="shared" si="19"/>
        <v>2017 г.</v>
      </c>
      <c r="F90" s="2689" t="str">
        <f t="shared" si="19"/>
        <v>2018 г.</v>
      </c>
      <c r="G90" s="2689" t="str">
        <f t="shared" si="19"/>
        <v>2019 г.</v>
      </c>
      <c r="H90" s="2689" t="str">
        <f t="shared" si="19"/>
        <v>2020 г.</v>
      </c>
      <c r="I90" s="2690" t="str">
        <f t="shared" si="19"/>
        <v>2021 г.</v>
      </c>
      <c r="J90" s="2691" t="str">
        <f t="shared" si="19"/>
        <v>2015 г.</v>
      </c>
      <c r="K90" s="2689" t="str">
        <f t="shared" si="19"/>
        <v>2016 г.</v>
      </c>
      <c r="L90" s="2689" t="str">
        <f t="shared" si="19"/>
        <v>2017 г.</v>
      </c>
      <c r="M90" s="2689" t="str">
        <f t="shared" si="19"/>
        <v>2018 г.</v>
      </c>
      <c r="N90" s="2689" t="str">
        <f t="shared" si="19"/>
        <v>2019 г.</v>
      </c>
      <c r="O90" s="2689" t="str">
        <f t="shared" si="19"/>
        <v>2020 г.</v>
      </c>
      <c r="P90" s="2690" t="str">
        <f t="shared" si="19"/>
        <v>2021 г.</v>
      </c>
      <c r="Q90" s="2688" t="str">
        <f t="shared" si="19"/>
        <v>2015 г.</v>
      </c>
      <c r="R90" s="2689" t="str">
        <f t="shared" si="19"/>
        <v>2016 г.</v>
      </c>
      <c r="S90" s="2689" t="str">
        <f t="shared" si="19"/>
        <v>2017 г.</v>
      </c>
      <c r="T90" s="2689" t="str">
        <f t="shared" si="19"/>
        <v>2018 г.</v>
      </c>
      <c r="U90" s="2689" t="str">
        <f t="shared" si="19"/>
        <v>2019 г.</v>
      </c>
      <c r="V90" s="2689" t="str">
        <f t="shared" si="19"/>
        <v>2020 г.</v>
      </c>
      <c r="W90" s="2690" t="str">
        <f t="shared" si="19"/>
        <v>2021 г.</v>
      </c>
    </row>
    <row r="91" spans="1:39" ht="24.75">
      <c r="A91" s="2682"/>
      <c r="B91" s="2692" t="s">
        <v>1237</v>
      </c>
      <c r="C91" s="2693">
        <f t="shared" ref="C91:W91" si="20">C28-C30</f>
        <v>1481</v>
      </c>
      <c r="D91" s="2694">
        <f t="shared" si="20"/>
        <v>1483</v>
      </c>
      <c r="E91" s="2694">
        <f t="shared" si="20"/>
        <v>1564</v>
      </c>
      <c r="F91" s="2694">
        <f t="shared" si="20"/>
        <v>1564</v>
      </c>
      <c r="G91" s="2694">
        <f t="shared" si="20"/>
        <v>1596</v>
      </c>
      <c r="H91" s="2694">
        <f t="shared" si="20"/>
        <v>1807</v>
      </c>
      <c r="I91" s="2695">
        <f t="shared" si="20"/>
        <v>1807</v>
      </c>
      <c r="J91" s="2696">
        <f t="shared" si="20"/>
        <v>154</v>
      </c>
      <c r="K91" s="2694">
        <f t="shared" si="20"/>
        <v>163</v>
      </c>
      <c r="L91" s="2694">
        <f t="shared" si="20"/>
        <v>178.55</v>
      </c>
      <c r="M91" s="2694">
        <f t="shared" si="20"/>
        <v>179.49</v>
      </c>
      <c r="N91" s="2694">
        <f t="shared" si="20"/>
        <v>187</v>
      </c>
      <c r="O91" s="2694">
        <f t="shared" si="20"/>
        <v>212.7</v>
      </c>
      <c r="P91" s="2695">
        <f t="shared" si="20"/>
        <v>212.54</v>
      </c>
      <c r="Q91" s="2697">
        <f t="shared" si="20"/>
        <v>188</v>
      </c>
      <c r="R91" s="2694">
        <f t="shared" si="20"/>
        <v>167</v>
      </c>
      <c r="S91" s="2694">
        <f t="shared" si="20"/>
        <v>168</v>
      </c>
      <c r="T91" s="2694">
        <f t="shared" si="20"/>
        <v>171</v>
      </c>
      <c r="U91" s="2694">
        <f t="shared" si="20"/>
        <v>171</v>
      </c>
      <c r="V91" s="2694">
        <f t="shared" si="20"/>
        <v>184</v>
      </c>
      <c r="W91" s="2695">
        <f t="shared" si="20"/>
        <v>184</v>
      </c>
    </row>
    <row r="92" spans="1:39">
      <c r="A92" s="2682"/>
      <c r="B92" s="2698" t="s">
        <v>1238</v>
      </c>
      <c r="C92" s="2699">
        <f>C57+C61</f>
        <v>5959</v>
      </c>
      <c r="D92" s="2700">
        <f t="shared" ref="D92:W92" si="21">D57+D61</f>
        <v>6086</v>
      </c>
      <c r="E92" s="2700">
        <f t="shared" si="21"/>
        <v>6247</v>
      </c>
      <c r="F92" s="2700">
        <f t="shared" si="21"/>
        <v>6411.5</v>
      </c>
      <c r="G92" s="2700">
        <f t="shared" si="21"/>
        <v>6622</v>
      </c>
      <c r="H92" s="2700">
        <f t="shared" si="21"/>
        <v>8001</v>
      </c>
      <c r="I92" s="2701">
        <f t="shared" si="21"/>
        <v>8211</v>
      </c>
      <c r="J92" s="2702">
        <f t="shared" si="21"/>
        <v>472</v>
      </c>
      <c r="K92" s="2700">
        <f t="shared" si="21"/>
        <v>478</v>
      </c>
      <c r="L92" s="2700">
        <f t="shared" si="21"/>
        <v>495.45000000000005</v>
      </c>
      <c r="M92" s="2700">
        <f t="shared" si="21"/>
        <v>507.51</v>
      </c>
      <c r="N92" s="2700">
        <f t="shared" si="21"/>
        <v>549</v>
      </c>
      <c r="O92" s="2700">
        <f t="shared" si="21"/>
        <v>674.3</v>
      </c>
      <c r="P92" s="2701">
        <f t="shared" si="21"/>
        <v>689.96</v>
      </c>
      <c r="Q92" s="2703">
        <f t="shared" si="21"/>
        <v>947</v>
      </c>
      <c r="R92" s="2700">
        <f t="shared" si="21"/>
        <v>975</v>
      </c>
      <c r="S92" s="2700">
        <f t="shared" si="21"/>
        <v>993</v>
      </c>
      <c r="T92" s="2700">
        <f t="shared" si="21"/>
        <v>1033</v>
      </c>
      <c r="U92" s="2700">
        <f t="shared" si="21"/>
        <v>1372</v>
      </c>
      <c r="V92" s="2700">
        <f t="shared" si="21"/>
        <v>1430</v>
      </c>
      <c r="W92" s="2701">
        <f t="shared" si="21"/>
        <v>1470</v>
      </c>
    </row>
    <row r="93" spans="1:39">
      <c r="A93" s="2682"/>
      <c r="B93" s="2698" t="s">
        <v>1239</v>
      </c>
      <c r="C93" s="2699">
        <f>C86</f>
        <v>1245</v>
      </c>
      <c r="D93" s="2700">
        <f t="shared" ref="D93:W93" si="22">D86</f>
        <v>1267</v>
      </c>
      <c r="E93" s="2700">
        <f t="shared" si="22"/>
        <v>1253</v>
      </c>
      <c r="F93" s="2700">
        <f t="shared" si="22"/>
        <v>1217</v>
      </c>
      <c r="G93" s="2700">
        <f t="shared" si="22"/>
        <v>1236</v>
      </c>
      <c r="H93" s="2700">
        <f t="shared" si="22"/>
        <v>1352</v>
      </c>
      <c r="I93" s="2701">
        <f t="shared" si="22"/>
        <v>1300</v>
      </c>
      <c r="J93" s="2702">
        <f t="shared" si="22"/>
        <v>112</v>
      </c>
      <c r="K93" s="2700">
        <f t="shared" si="22"/>
        <v>124</v>
      </c>
      <c r="L93" s="2700">
        <f t="shared" si="22"/>
        <v>137</v>
      </c>
      <c r="M93" s="2700">
        <f t="shared" si="22"/>
        <v>138</v>
      </c>
      <c r="N93" s="2700">
        <f t="shared" si="22"/>
        <v>145</v>
      </c>
      <c r="O93" s="2700">
        <f t="shared" si="22"/>
        <v>164</v>
      </c>
      <c r="P93" s="2701">
        <f t="shared" si="22"/>
        <v>160</v>
      </c>
      <c r="Q93" s="2703">
        <f t="shared" si="22"/>
        <v>88</v>
      </c>
      <c r="R93" s="2700">
        <f t="shared" si="22"/>
        <v>85</v>
      </c>
      <c r="S93" s="2700">
        <f t="shared" si="22"/>
        <v>88</v>
      </c>
      <c r="T93" s="2700">
        <f t="shared" si="22"/>
        <v>87</v>
      </c>
      <c r="U93" s="2700">
        <f t="shared" si="22"/>
        <v>78</v>
      </c>
      <c r="V93" s="2700">
        <f t="shared" si="22"/>
        <v>78</v>
      </c>
      <c r="W93" s="2701">
        <f t="shared" si="22"/>
        <v>81</v>
      </c>
    </row>
    <row r="94" spans="1:39" ht="15.75" thickBot="1">
      <c r="A94" s="2682"/>
      <c r="B94" s="2704" t="s">
        <v>1240</v>
      </c>
      <c r="C94" s="2705">
        <f>C87</f>
        <v>890</v>
      </c>
      <c r="D94" s="2706">
        <f t="shared" ref="D94:W94" si="23">D87</f>
        <v>842</v>
      </c>
      <c r="E94" s="2706">
        <f t="shared" si="23"/>
        <v>1026</v>
      </c>
      <c r="F94" s="2706">
        <f t="shared" si="23"/>
        <v>981.245</v>
      </c>
      <c r="G94" s="2706">
        <f t="shared" si="23"/>
        <v>991.31600000000003</v>
      </c>
      <c r="H94" s="2706">
        <f t="shared" si="23"/>
        <v>1483.422</v>
      </c>
      <c r="I94" s="2707">
        <f t="shared" si="23"/>
        <v>1427.5830000000001</v>
      </c>
      <c r="J94" s="2708">
        <f t="shared" si="23"/>
        <v>41.271999999999998</v>
      </c>
      <c r="K94" s="2706">
        <f t="shared" si="23"/>
        <v>41.226999999999997</v>
      </c>
      <c r="L94" s="2706">
        <f t="shared" si="23"/>
        <v>41.226999999999997</v>
      </c>
      <c r="M94" s="2706">
        <f t="shared" si="23"/>
        <v>41.226999999999997</v>
      </c>
      <c r="N94" s="2706">
        <f t="shared" si="23"/>
        <v>41.222999999999999</v>
      </c>
      <c r="O94" s="2706">
        <f t="shared" si="23"/>
        <v>42.222999999999999</v>
      </c>
      <c r="P94" s="2707">
        <f t="shared" si="23"/>
        <v>42.222999999999999</v>
      </c>
      <c r="Q94" s="2705">
        <f t="shared" si="23"/>
        <v>350</v>
      </c>
      <c r="R94" s="2706">
        <f t="shared" si="23"/>
        <v>315</v>
      </c>
      <c r="S94" s="2706">
        <f t="shared" si="23"/>
        <v>342</v>
      </c>
      <c r="T94" s="2706">
        <f t="shared" si="23"/>
        <v>365.42</v>
      </c>
      <c r="U94" s="2706">
        <f t="shared" si="23"/>
        <v>643.46</v>
      </c>
      <c r="V94" s="2706">
        <f t="shared" si="23"/>
        <v>698.5</v>
      </c>
      <c r="W94" s="2707">
        <f t="shared" si="23"/>
        <v>683.6</v>
      </c>
    </row>
    <row r="95" spans="1:39" ht="6.75" customHeight="1" thickBot="1">
      <c r="A95" s="2682"/>
      <c r="B95" s="2709"/>
      <c r="C95" s="2710"/>
      <c r="D95" s="2711"/>
      <c r="E95" s="2711"/>
      <c r="F95" s="2711"/>
      <c r="G95" s="2711"/>
      <c r="H95" s="2711"/>
      <c r="I95" s="2712"/>
      <c r="J95" s="2713"/>
      <c r="K95" s="2714"/>
      <c r="L95" s="2714"/>
      <c r="M95" s="2714"/>
      <c r="N95" s="2714"/>
      <c r="O95" s="2714"/>
      <c r="P95" s="2715"/>
      <c r="Q95" s="2716"/>
      <c r="R95" s="2714"/>
      <c r="S95" s="2714"/>
      <c r="T95" s="2714"/>
      <c r="U95" s="2714"/>
      <c r="V95" s="2714"/>
      <c r="W95" s="2712"/>
    </row>
    <row r="96" spans="1:39">
      <c r="A96" s="2682"/>
      <c r="B96" s="2717" t="s">
        <v>1232</v>
      </c>
      <c r="C96" s="2718">
        <f>'2. Променливи'!E23</f>
        <v>1498</v>
      </c>
      <c r="D96" s="2719">
        <f>'2. Променливи'!F23</f>
        <v>1498</v>
      </c>
      <c r="E96" s="2719">
        <f>'2. Променливи'!G23</f>
        <v>1554</v>
      </c>
      <c r="F96" s="2719">
        <f>'2. Променливи'!H23</f>
        <v>1563</v>
      </c>
      <c r="G96" s="2719">
        <f>'2. Променливи'!I23</f>
        <v>1723</v>
      </c>
      <c r="H96" s="2719">
        <f>'2. Променливи'!J23</f>
        <v>2191</v>
      </c>
      <c r="I96" s="2720">
        <f>'2. Променливи'!K23</f>
        <v>2191</v>
      </c>
      <c r="J96" s="2721"/>
      <c r="K96" s="2722"/>
      <c r="L96" s="2722"/>
      <c r="M96" s="2722"/>
      <c r="N96" s="2722"/>
      <c r="O96" s="2722"/>
      <c r="P96" s="2723"/>
      <c r="Q96" s="2724"/>
      <c r="R96" s="2722"/>
      <c r="S96" s="2722"/>
      <c r="T96" s="2722"/>
      <c r="U96" s="2722"/>
      <c r="V96" s="2722"/>
      <c r="W96" s="2723"/>
    </row>
    <row r="97" spans="1:30">
      <c r="A97" s="2682"/>
      <c r="B97" s="2725" t="s">
        <v>1233</v>
      </c>
      <c r="C97" s="2726"/>
      <c r="D97" s="2727"/>
      <c r="E97" s="2728"/>
      <c r="F97" s="2728"/>
      <c r="G97" s="2728"/>
      <c r="H97" s="2728"/>
      <c r="I97" s="2729"/>
      <c r="J97" s="2730">
        <f>'2. Променливи'!E29</f>
        <v>375</v>
      </c>
      <c r="K97" s="2731">
        <f>'2. Променливи'!F29</f>
        <v>375</v>
      </c>
      <c r="L97" s="2731">
        <f>'2. Променливи'!G29</f>
        <v>375</v>
      </c>
      <c r="M97" s="2731">
        <f>'2. Променливи'!H29</f>
        <v>385</v>
      </c>
      <c r="N97" s="2731">
        <f>'2. Променливи'!I29</f>
        <v>415</v>
      </c>
      <c r="O97" s="2731">
        <f>'2. Променливи'!J29</f>
        <v>505</v>
      </c>
      <c r="P97" s="2732">
        <f>'2. Променливи'!K29</f>
        <v>505</v>
      </c>
      <c r="Q97" s="2733"/>
      <c r="R97" s="2728"/>
      <c r="S97" s="2728"/>
      <c r="T97" s="2728"/>
      <c r="U97" s="2728"/>
      <c r="V97" s="2728"/>
      <c r="W97" s="2729"/>
    </row>
    <row r="98" spans="1:30">
      <c r="A98" s="2682"/>
      <c r="B98" s="2725" t="s">
        <v>1234</v>
      </c>
      <c r="C98" s="2734">
        <f>'4. Отчет и прогн. потребление'!D10/1000</f>
        <v>29273.588</v>
      </c>
      <c r="D98" s="2731">
        <f>'4. Отчет и прогн. потребление'!E10/1000</f>
        <v>28149.194</v>
      </c>
      <c r="E98" s="2731">
        <f>'4. Отчет и прогн. потребление'!F10/1000</f>
        <v>27308.379000000001</v>
      </c>
      <c r="F98" s="2731">
        <f>'4. Отчет и прогн. потребление'!G10/1000</f>
        <v>26099.749</v>
      </c>
      <c r="G98" s="2731">
        <f>'4. Отчет и прогн. потребление'!H10/1000</f>
        <v>26278.045999999998</v>
      </c>
      <c r="H98" s="2731">
        <f>'4. Отчет и прогн. потребление'!I10/1000</f>
        <v>31127.24</v>
      </c>
      <c r="I98" s="2732">
        <f>'4. Отчет и прогн. потребление'!J10/1000</f>
        <v>30343.625</v>
      </c>
      <c r="J98" s="2735"/>
      <c r="K98" s="2728"/>
      <c r="L98" s="2728"/>
      <c r="M98" s="2728"/>
      <c r="N98" s="2728"/>
      <c r="O98" s="2728"/>
      <c r="P98" s="2729"/>
      <c r="Q98" s="2733"/>
      <c r="R98" s="2728"/>
      <c r="S98" s="2728"/>
      <c r="T98" s="2728"/>
      <c r="U98" s="2728"/>
      <c r="V98" s="2728"/>
      <c r="W98" s="2729"/>
    </row>
    <row r="99" spans="1:30">
      <c r="A99" s="2682"/>
      <c r="B99" s="2725" t="s">
        <v>1235</v>
      </c>
      <c r="C99" s="2728"/>
      <c r="D99" s="2728"/>
      <c r="E99" s="2728"/>
      <c r="F99" s="2728"/>
      <c r="G99" s="2728"/>
      <c r="H99" s="2728"/>
      <c r="I99" s="2729"/>
      <c r="J99" s="2730">
        <f>'4. Отчет и прогн. потребление'!D53/1000</f>
        <v>8416.2520000000004</v>
      </c>
      <c r="K99" s="2731">
        <f>'4. Отчет и прогн. потребление'!E53/1000</f>
        <v>8316.3529999999992</v>
      </c>
      <c r="L99" s="2731">
        <f>'4. Отчет и прогн. потребление'!F53/1000</f>
        <v>8461.0490000000009</v>
      </c>
      <c r="M99" s="2731">
        <f>'4. Отчет и прогн. потребление'!G53/1000</f>
        <v>8644.9179999999997</v>
      </c>
      <c r="N99" s="2731">
        <f>'4. Отчет и прогн. потребление'!H53/1000</f>
        <v>8914.5709999999999</v>
      </c>
      <c r="O99" s="2731">
        <f>'4. Отчет и прогн. потребление'!I53/1000</f>
        <v>10964.550999999999</v>
      </c>
      <c r="P99" s="2732">
        <f>'4. Отчет и прогн. потребление'!J53/1000</f>
        <v>10915.53</v>
      </c>
      <c r="Q99" s="2733"/>
      <c r="R99" s="2728"/>
      <c r="S99" s="2728"/>
      <c r="T99" s="2728"/>
      <c r="U99" s="2728"/>
      <c r="V99" s="2728"/>
      <c r="W99" s="2729"/>
    </row>
    <row r="100" spans="1:30" ht="15.75" thickBot="1">
      <c r="A100" s="2682"/>
      <c r="B100" s="2704" t="s">
        <v>1236</v>
      </c>
      <c r="C100" s="2442"/>
      <c r="D100" s="2442"/>
      <c r="E100" s="2442"/>
      <c r="F100" s="2442"/>
      <c r="G100" s="2442"/>
      <c r="H100" s="2442"/>
      <c r="I100" s="2736"/>
      <c r="J100" s="2737"/>
      <c r="K100" s="2442"/>
      <c r="L100" s="2442"/>
      <c r="M100" s="2442"/>
      <c r="N100" s="2442"/>
      <c r="O100" s="2442"/>
      <c r="P100" s="2736"/>
      <c r="Q100" s="2738">
        <f>'2. Променливи'!E64/1000</f>
        <v>10928.064</v>
      </c>
      <c r="R100" s="2739">
        <f>'2. Променливи'!F64/1000</f>
        <v>10970</v>
      </c>
      <c r="S100" s="2739">
        <f>'2. Променливи'!G64/1000</f>
        <v>10928.064</v>
      </c>
      <c r="T100" s="2739">
        <f>'2. Променливи'!H64/1000</f>
        <v>11114</v>
      </c>
      <c r="U100" s="2739">
        <f>'2. Променливи'!I64/1000</f>
        <v>13684.5</v>
      </c>
      <c r="V100" s="2739">
        <f>'2. Променливи'!J64/1000</f>
        <v>13807</v>
      </c>
      <c r="W100" s="2740">
        <f>'2. Променливи'!K64/1000</f>
        <v>13807</v>
      </c>
    </row>
    <row r="101" spans="1:30" ht="8.25" customHeight="1" thickBot="1">
      <c r="A101" s="2682"/>
      <c r="B101" s="2741"/>
      <c r="C101" s="2742"/>
      <c r="D101" s="2743"/>
      <c r="E101" s="2743"/>
      <c r="F101" s="2743"/>
      <c r="G101" s="2743"/>
      <c r="H101" s="2743"/>
      <c r="I101" s="2744"/>
      <c r="J101" s="2745"/>
      <c r="K101" s="2746"/>
      <c r="L101" s="2746"/>
      <c r="M101" s="2746"/>
      <c r="N101" s="2746"/>
      <c r="O101" s="2746"/>
      <c r="P101" s="2747"/>
      <c r="Q101" s="2748"/>
      <c r="R101" s="2746"/>
      <c r="S101" s="2746"/>
      <c r="T101" s="2746"/>
      <c r="U101" s="2746"/>
      <c r="V101" s="2746"/>
      <c r="W101" s="2749"/>
    </row>
    <row r="102" spans="1:30" ht="48.75">
      <c r="A102" s="2682"/>
      <c r="B102" s="2750" t="s">
        <v>1241</v>
      </c>
      <c r="C102" s="2751">
        <f t="shared" ref="C102:I102" si="24">C91/C96</f>
        <v>0.98865153538050732</v>
      </c>
      <c r="D102" s="2752">
        <f t="shared" si="24"/>
        <v>0.98998664886515353</v>
      </c>
      <c r="E102" s="2752">
        <f t="shared" si="24"/>
        <v>1.0064350064350065</v>
      </c>
      <c r="F102" s="2752">
        <f t="shared" si="24"/>
        <v>1.0006397952655151</v>
      </c>
      <c r="G102" s="2752">
        <f t="shared" si="24"/>
        <v>0.92629135229251303</v>
      </c>
      <c r="H102" s="2752">
        <f t="shared" si="24"/>
        <v>0.82473756275673205</v>
      </c>
      <c r="I102" s="2753">
        <f t="shared" si="24"/>
        <v>0.82473756275673205</v>
      </c>
      <c r="J102" s="2754">
        <f>J91/J97</f>
        <v>0.41066666666666668</v>
      </c>
      <c r="K102" s="2752">
        <f t="shared" ref="K102:P102" si="25">K91/K97</f>
        <v>0.43466666666666665</v>
      </c>
      <c r="L102" s="2752">
        <f t="shared" si="25"/>
        <v>0.47613333333333335</v>
      </c>
      <c r="M102" s="2752">
        <f t="shared" si="25"/>
        <v>0.46620779220779224</v>
      </c>
      <c r="N102" s="2752">
        <f t="shared" si="25"/>
        <v>0.45060240963855419</v>
      </c>
      <c r="O102" s="2752">
        <f t="shared" si="25"/>
        <v>0.42118811881188117</v>
      </c>
      <c r="P102" s="2753">
        <f t="shared" si="25"/>
        <v>0.42087128712871286</v>
      </c>
      <c r="Q102" s="2751">
        <f>Q91/Q100</f>
        <v>1.7203413157170382E-2</v>
      </c>
      <c r="R102" s="2752">
        <f t="shared" ref="R102:W102" si="26">R91/R100</f>
        <v>1.5223336371923428E-2</v>
      </c>
      <c r="S102" s="2752">
        <f t="shared" si="26"/>
        <v>1.5373262821301192E-2</v>
      </c>
      <c r="T102" s="2752">
        <f t="shared" si="26"/>
        <v>1.5385999640093576E-2</v>
      </c>
      <c r="U102" s="2752">
        <f t="shared" si="26"/>
        <v>1.2495889510029596E-2</v>
      </c>
      <c r="V102" s="2752">
        <f t="shared" si="26"/>
        <v>1.3326573477221699E-2</v>
      </c>
      <c r="W102" s="2753">
        <f t="shared" si="26"/>
        <v>1.3326573477221699E-2</v>
      </c>
    </row>
    <row r="103" spans="1:30" ht="36.75">
      <c r="A103" s="2682"/>
      <c r="B103" s="2755" t="s">
        <v>1242</v>
      </c>
      <c r="C103" s="2756">
        <f>C92/C96</f>
        <v>3.9779706275033377</v>
      </c>
      <c r="D103" s="2757">
        <f t="shared" ref="D103:I103" si="27">D92/D96</f>
        <v>4.0627503337783715</v>
      </c>
      <c r="E103" s="2757">
        <f t="shared" si="27"/>
        <v>4.0199485199485201</v>
      </c>
      <c r="F103" s="2757">
        <f t="shared" si="27"/>
        <v>4.1020473448496482</v>
      </c>
      <c r="G103" s="2757">
        <f t="shared" si="27"/>
        <v>3.8432965757399882</v>
      </c>
      <c r="H103" s="2757">
        <f t="shared" si="27"/>
        <v>3.6517571884984026</v>
      </c>
      <c r="I103" s="2758">
        <f t="shared" si="27"/>
        <v>3.7476038338658149</v>
      </c>
      <c r="J103" s="2759">
        <f>J92/J97</f>
        <v>1.2586666666666666</v>
      </c>
      <c r="K103" s="2757">
        <f t="shared" ref="K103:P103" si="28">K92/K97</f>
        <v>1.2746666666666666</v>
      </c>
      <c r="L103" s="2757">
        <f t="shared" si="28"/>
        <v>1.3212000000000002</v>
      </c>
      <c r="M103" s="2757">
        <f t="shared" si="28"/>
        <v>1.3182077922077922</v>
      </c>
      <c r="N103" s="2757">
        <f t="shared" si="28"/>
        <v>1.3228915662650602</v>
      </c>
      <c r="O103" s="2757">
        <f t="shared" si="28"/>
        <v>1.3352475247524751</v>
      </c>
      <c r="P103" s="2758">
        <f t="shared" si="28"/>
        <v>1.3662574257425744</v>
      </c>
      <c r="Q103" s="2756">
        <f>Q92/Q100</f>
        <v>8.6657618403406134E-2</v>
      </c>
      <c r="R103" s="2757">
        <f t="shared" ref="R103:W103" si="29">R92/R100</f>
        <v>8.8878760255241565E-2</v>
      </c>
      <c r="S103" s="2757">
        <f t="shared" si="29"/>
        <v>9.0866964175905257E-2</v>
      </c>
      <c r="T103" s="2757">
        <f t="shared" si="29"/>
        <v>9.294583408313839E-2</v>
      </c>
      <c r="U103" s="2757">
        <f t="shared" si="29"/>
        <v>0.10025941758924331</v>
      </c>
      <c r="V103" s="2757">
        <f t="shared" si="29"/>
        <v>0.10357065256753821</v>
      </c>
      <c r="W103" s="2758">
        <f t="shared" si="29"/>
        <v>0.10646773375823858</v>
      </c>
    </row>
    <row r="104" spans="1:30" ht="24.75">
      <c r="A104" s="2682"/>
      <c r="B104" s="2755" t="s">
        <v>1243</v>
      </c>
      <c r="C104" s="2756">
        <f>C93/C96</f>
        <v>0.83110814419225632</v>
      </c>
      <c r="D104" s="2757">
        <f t="shared" ref="D104:I104" si="30">D93/D96</f>
        <v>0.84579439252336452</v>
      </c>
      <c r="E104" s="2757">
        <f t="shared" si="30"/>
        <v>0.80630630630630629</v>
      </c>
      <c r="F104" s="2757">
        <f t="shared" si="30"/>
        <v>0.77863083813179779</v>
      </c>
      <c r="G104" s="2757">
        <f t="shared" si="30"/>
        <v>0.71735345327916422</v>
      </c>
      <c r="H104" s="2757">
        <f t="shared" si="30"/>
        <v>0.61706983112733915</v>
      </c>
      <c r="I104" s="2758">
        <f t="shared" si="30"/>
        <v>0.59333637608397993</v>
      </c>
      <c r="J104" s="2759">
        <f>J93/J97</f>
        <v>0.29866666666666669</v>
      </c>
      <c r="K104" s="2757">
        <f t="shared" ref="K104:P104" si="31">K93/K97</f>
        <v>0.33066666666666666</v>
      </c>
      <c r="L104" s="2757">
        <f t="shared" si="31"/>
        <v>0.36533333333333334</v>
      </c>
      <c r="M104" s="2757">
        <f t="shared" si="31"/>
        <v>0.35844155844155845</v>
      </c>
      <c r="N104" s="2757">
        <f t="shared" si="31"/>
        <v>0.3493975903614458</v>
      </c>
      <c r="O104" s="2757">
        <f t="shared" si="31"/>
        <v>0.32475247524752476</v>
      </c>
      <c r="P104" s="2758">
        <f t="shared" si="31"/>
        <v>0.31683168316831684</v>
      </c>
      <c r="Q104" s="2756">
        <f>Q93/Q100</f>
        <v>8.0526614778244337E-3</v>
      </c>
      <c r="R104" s="2757">
        <f t="shared" ref="R104:W104" si="32">R93/R100</f>
        <v>7.7484047402005471E-3</v>
      </c>
      <c r="S104" s="2757">
        <f t="shared" si="32"/>
        <v>8.0526614778244337E-3</v>
      </c>
      <c r="T104" s="2757">
        <f t="shared" si="32"/>
        <v>7.8279647291704165E-3</v>
      </c>
      <c r="U104" s="2757">
        <f t="shared" si="32"/>
        <v>5.6998794256275347E-3</v>
      </c>
      <c r="V104" s="2757">
        <f t="shared" si="32"/>
        <v>5.6493083218657203E-3</v>
      </c>
      <c r="W104" s="2758">
        <f t="shared" si="32"/>
        <v>5.8665894111682481E-3</v>
      </c>
    </row>
    <row r="105" spans="1:30" ht="37.5" thickBot="1">
      <c r="A105" s="2682"/>
      <c r="B105" s="2760" t="s">
        <v>1244</v>
      </c>
      <c r="C105" s="2761">
        <f>C94/C98</f>
        <v>3.0402832751489157E-2</v>
      </c>
      <c r="D105" s="2762">
        <f t="shared" ref="D105:I105" si="33">D94/D98</f>
        <v>2.9912046504777367E-2</v>
      </c>
      <c r="E105" s="2762">
        <f t="shared" si="33"/>
        <v>3.7570886210419152E-2</v>
      </c>
      <c r="F105" s="2762">
        <f t="shared" si="33"/>
        <v>3.7595955424705424E-2</v>
      </c>
      <c r="G105" s="2762">
        <f t="shared" si="33"/>
        <v>3.7724113885788925E-2</v>
      </c>
      <c r="H105" s="2762">
        <f t="shared" si="33"/>
        <v>4.7656714825985214E-2</v>
      </c>
      <c r="I105" s="2763">
        <f t="shared" si="33"/>
        <v>4.7047213376780132E-2</v>
      </c>
      <c r="J105" s="2764">
        <f>J94/J99</f>
        <v>4.9038455597574786E-3</v>
      </c>
      <c r="K105" s="2762">
        <f t="shared" ref="K105:P105" si="34">K94/K99</f>
        <v>4.957341276879421E-3</v>
      </c>
      <c r="L105" s="2762">
        <f t="shared" si="34"/>
        <v>4.8725636738423325E-3</v>
      </c>
      <c r="M105" s="2762">
        <f t="shared" si="34"/>
        <v>4.7689289823223307E-3</v>
      </c>
      <c r="N105" s="2762">
        <f t="shared" si="34"/>
        <v>4.6242270099144424E-3</v>
      </c>
      <c r="O105" s="2762">
        <f t="shared" si="34"/>
        <v>3.8508644813636237E-3</v>
      </c>
      <c r="P105" s="2763">
        <f t="shared" si="34"/>
        <v>3.8681584861202339E-3</v>
      </c>
      <c r="Q105" s="2761">
        <f>Q94/Q100</f>
        <v>3.2027630877710815E-2</v>
      </c>
      <c r="R105" s="2762">
        <f t="shared" ref="R105:W105" si="35">R94/R100</f>
        <v>2.8714676390154969E-2</v>
      </c>
      <c r="S105" s="2762">
        <f t="shared" si="35"/>
        <v>3.1295570743363144E-2</v>
      </c>
      <c r="T105" s="2762">
        <f t="shared" si="35"/>
        <v>3.2879251394637397E-2</v>
      </c>
      <c r="U105" s="2762">
        <f t="shared" si="35"/>
        <v>4.7021082246337102E-2</v>
      </c>
      <c r="V105" s="2762">
        <f t="shared" si="35"/>
        <v>5.0590280292605198E-2</v>
      </c>
      <c r="W105" s="2763">
        <f t="shared" si="35"/>
        <v>4.9511117549069311E-2</v>
      </c>
    </row>
    <row r="106" spans="1:30" ht="18.75" customHeight="1">
      <c r="C106" s="1181"/>
      <c r="D106" s="1181"/>
      <c r="E106" s="1181"/>
      <c r="F106" s="1181"/>
      <c r="G106" s="1181"/>
      <c r="H106" s="1181"/>
      <c r="I106" s="1181"/>
      <c r="J106" s="365"/>
      <c r="K106" s="365"/>
      <c r="L106" s="365"/>
      <c r="M106" s="365"/>
      <c r="N106" s="365"/>
      <c r="O106" s="365"/>
      <c r="P106" s="365"/>
      <c r="Q106" s="365"/>
      <c r="R106" s="365"/>
      <c r="S106" s="365"/>
      <c r="T106" s="365"/>
      <c r="U106" s="365"/>
      <c r="V106" s="365"/>
    </row>
    <row r="107" spans="1:30">
      <c r="J107" s="365"/>
      <c r="K107" s="365"/>
      <c r="L107" s="365"/>
      <c r="M107" s="365"/>
      <c r="N107" s="365"/>
      <c r="O107" s="365"/>
      <c r="P107" s="365"/>
      <c r="Q107" s="365"/>
      <c r="R107" s="365"/>
      <c r="S107" s="365"/>
      <c r="T107" s="365"/>
      <c r="U107" s="365"/>
      <c r="V107" s="365"/>
    </row>
    <row r="108" spans="1:30">
      <c r="A108" s="366"/>
      <c r="B108" s="367" t="str">
        <f>'11.1.Амортиз.нови активи'!C115</f>
        <v>Дата: 27.08.2018 г.</v>
      </c>
      <c r="W108" s="337"/>
      <c r="X108" s="337"/>
      <c r="Y108" s="337"/>
      <c r="Z108" s="337"/>
      <c r="AA108" s="337"/>
      <c r="AB108" s="337"/>
      <c r="AC108" s="337"/>
      <c r="AD108" s="337"/>
    </row>
    <row r="109" spans="1:30">
      <c r="A109" s="366"/>
      <c r="B109" s="366"/>
      <c r="C109" s="368"/>
      <c r="D109" s="368"/>
      <c r="E109" s="368"/>
      <c r="F109" s="368"/>
      <c r="G109" s="368"/>
      <c r="H109" s="368"/>
      <c r="I109" s="368"/>
      <c r="J109" s="368"/>
      <c r="K109" s="368"/>
      <c r="L109" s="368"/>
      <c r="M109" s="368"/>
      <c r="N109" s="368"/>
      <c r="O109" s="368"/>
      <c r="P109" s="368"/>
      <c r="Q109" s="368"/>
      <c r="R109" s="368"/>
      <c r="S109" s="368"/>
      <c r="T109" s="368"/>
      <c r="U109" s="368"/>
      <c r="V109" s="368"/>
      <c r="W109" s="258"/>
      <c r="X109" s="349" t="str">
        <f>'11.1.Амортиз.нови активи'!U112</f>
        <v>Главен счетоводител:</v>
      </c>
      <c r="Y109" s="338"/>
      <c r="Z109" s="288"/>
      <c r="AA109" s="218" t="s">
        <v>262</v>
      </c>
      <c r="AB109" s="198"/>
      <c r="AC109" s="216"/>
      <c r="AD109" s="258"/>
    </row>
    <row r="110" spans="1:30">
      <c r="A110" s="366"/>
      <c r="B110" s="366"/>
      <c r="C110" s="368"/>
      <c r="D110" s="368"/>
      <c r="E110" s="368"/>
      <c r="F110" s="368"/>
      <c r="G110" s="368"/>
      <c r="H110" s="368"/>
      <c r="I110" s="368"/>
      <c r="J110" s="368"/>
      <c r="K110" s="368"/>
      <c r="L110" s="368"/>
      <c r="M110" s="368"/>
      <c r="N110" s="368"/>
      <c r="O110" s="368"/>
      <c r="P110" s="368"/>
      <c r="Q110" s="368"/>
      <c r="R110" s="368"/>
      <c r="S110" s="368"/>
      <c r="T110" s="368"/>
      <c r="U110" s="368"/>
      <c r="V110" s="368"/>
      <c r="W110" s="258"/>
      <c r="X110" s="258"/>
      <c r="Y110" s="287"/>
      <c r="Z110" s="219"/>
      <c r="AA110" s="289"/>
      <c r="AB110" s="290" t="s">
        <v>5</v>
      </c>
      <c r="AC110" s="216"/>
      <c r="AD110" s="258"/>
    </row>
    <row r="111" spans="1:30">
      <c r="A111" s="366"/>
      <c r="B111" s="366"/>
      <c r="C111" s="368"/>
      <c r="D111" s="368"/>
      <c r="E111" s="368"/>
      <c r="F111" s="368"/>
      <c r="G111" s="368"/>
      <c r="H111" s="368"/>
      <c r="I111" s="368"/>
      <c r="J111" s="368"/>
      <c r="K111" s="368"/>
      <c r="L111" s="368"/>
      <c r="M111" s="368"/>
      <c r="N111" s="368"/>
      <c r="O111" s="368"/>
      <c r="P111" s="368"/>
      <c r="Q111" s="368"/>
      <c r="R111" s="368"/>
      <c r="S111" s="368"/>
      <c r="T111" s="368"/>
      <c r="U111" s="368"/>
      <c r="V111" s="368"/>
      <c r="W111" s="258"/>
      <c r="X111" s="258"/>
      <c r="Y111" s="287"/>
      <c r="Z111" s="219"/>
      <c r="AA111" s="289"/>
      <c r="AB111" s="290"/>
      <c r="AC111" s="216"/>
      <c r="AD111" s="258"/>
    </row>
    <row r="112" spans="1:30">
      <c r="A112" s="366"/>
      <c r="B112" s="366"/>
      <c r="C112" s="368"/>
      <c r="D112" s="368"/>
      <c r="E112" s="368"/>
      <c r="F112" s="368"/>
      <c r="G112" s="368"/>
      <c r="H112" s="368"/>
      <c r="I112" s="368"/>
      <c r="J112" s="368"/>
      <c r="K112" s="368"/>
      <c r="L112" s="368"/>
      <c r="M112" s="368"/>
      <c r="N112" s="368"/>
      <c r="O112" s="368"/>
      <c r="P112" s="368"/>
      <c r="Q112" s="368"/>
      <c r="R112" s="368"/>
      <c r="S112" s="368"/>
      <c r="T112" s="368"/>
      <c r="U112" s="368"/>
      <c r="V112" s="368"/>
      <c r="W112" s="258"/>
      <c r="X112" s="258"/>
      <c r="Y112" s="287"/>
      <c r="Z112" s="219"/>
      <c r="AA112" s="289"/>
      <c r="AB112" s="290"/>
      <c r="AC112" s="216"/>
      <c r="AD112" s="258"/>
    </row>
    <row r="113" spans="1:30" s="351" customFormat="1">
      <c r="C113" s="368"/>
      <c r="D113" s="368"/>
      <c r="E113" s="368"/>
      <c r="F113" s="368"/>
      <c r="G113" s="368"/>
      <c r="H113" s="368"/>
      <c r="I113" s="368"/>
      <c r="J113" s="368"/>
      <c r="K113" s="368"/>
      <c r="L113" s="368"/>
      <c r="M113" s="368"/>
      <c r="N113" s="368"/>
      <c r="O113" s="368"/>
      <c r="P113" s="368"/>
      <c r="Q113" s="368"/>
      <c r="R113" s="368"/>
      <c r="S113" s="368"/>
      <c r="T113" s="368"/>
      <c r="U113" s="368"/>
      <c r="V113" s="368"/>
      <c r="W113" s="258"/>
      <c r="X113" s="258"/>
      <c r="Y113" s="287"/>
      <c r="Z113" s="219"/>
      <c r="AA113" s="289"/>
      <c r="AB113" s="290"/>
      <c r="AC113" s="216"/>
      <c r="AD113" s="258"/>
    </row>
    <row r="114" spans="1:30" s="351" customFormat="1">
      <c r="C114" s="369"/>
      <c r="D114" s="369"/>
      <c r="E114" s="369"/>
      <c r="F114" s="369"/>
      <c r="G114" s="369"/>
      <c r="H114" s="369"/>
      <c r="I114" s="369"/>
      <c r="J114" s="369"/>
      <c r="K114" s="369"/>
      <c r="L114" s="369"/>
      <c r="M114" s="369"/>
      <c r="N114" s="369"/>
      <c r="O114" s="369"/>
      <c r="P114" s="369"/>
      <c r="Q114" s="369"/>
      <c r="R114" s="369"/>
      <c r="S114" s="369"/>
      <c r="T114" s="369"/>
      <c r="U114" s="369"/>
      <c r="V114" s="368"/>
      <c r="W114" s="258"/>
      <c r="X114" s="260" t="str">
        <f>'11.1.Амортиз.нови активи'!V118</f>
        <v>Управител:</v>
      </c>
      <c r="Y114" s="291"/>
      <c r="Z114" s="258"/>
      <c r="AA114" s="218" t="s">
        <v>262</v>
      </c>
      <c r="AB114" s="198"/>
      <c r="AC114" s="216"/>
      <c r="AD114" s="258"/>
    </row>
    <row r="115" spans="1:30" s="351" customFormat="1">
      <c r="A115" s="187"/>
      <c r="B115" s="380" t="s">
        <v>247</v>
      </c>
      <c r="C115" s="352"/>
      <c r="D115" s="352"/>
      <c r="E115" s="352"/>
      <c r="F115" s="352"/>
      <c r="G115" s="352"/>
      <c r="H115" s="352"/>
      <c r="I115" s="352"/>
      <c r="J115" s="352"/>
      <c r="K115" s="352"/>
      <c r="L115" s="352"/>
      <c r="M115" s="352"/>
      <c r="N115" s="352"/>
      <c r="O115" s="352"/>
      <c r="P115" s="352"/>
      <c r="Q115" s="352"/>
      <c r="R115" s="352"/>
      <c r="S115" s="352"/>
      <c r="T115" s="352"/>
      <c r="U115" s="352"/>
      <c r="V115" s="352"/>
      <c r="W115" s="258"/>
      <c r="Y115" s="287"/>
      <c r="Z115" s="292"/>
      <c r="AA115" s="289"/>
      <c r="AB115" s="290" t="s">
        <v>6</v>
      </c>
      <c r="AC115" s="216"/>
      <c r="AD115" s="258"/>
    </row>
    <row r="116" spans="1:30" s="351" customFormat="1">
      <c r="B116" s="2943" t="s">
        <v>1536</v>
      </c>
      <c r="C116" s="352"/>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64"/>
      <c r="AA116" s="364"/>
      <c r="AB116" s="364"/>
      <c r="AC116" s="364"/>
      <c r="AD116" s="364"/>
    </row>
    <row r="117" spans="1:30" s="351" customFormat="1">
      <c r="B117" s="2971" t="s">
        <v>1535</v>
      </c>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64"/>
      <c r="AA117" s="364"/>
      <c r="AB117" s="364"/>
      <c r="AC117" s="364"/>
      <c r="AD117" s="364"/>
    </row>
    <row r="118" spans="1:30" s="351" customFormat="1">
      <c r="A118" s="371"/>
      <c r="B118" s="647"/>
      <c r="C118" s="646"/>
      <c r="D118" s="646"/>
      <c r="E118" s="646"/>
      <c r="F118" s="646"/>
      <c r="G118" s="646"/>
      <c r="H118" s="372"/>
      <c r="I118" s="372"/>
      <c r="J118" s="372"/>
      <c r="K118" s="372"/>
      <c r="L118" s="372"/>
      <c r="M118" s="372"/>
      <c r="N118" s="372"/>
      <c r="O118" s="372"/>
      <c r="P118" s="372"/>
      <c r="Q118" s="364"/>
      <c r="R118" s="364"/>
      <c r="S118" s="364"/>
      <c r="T118" s="364"/>
      <c r="U118" s="364"/>
      <c r="V118" s="364"/>
      <c r="W118" s="364"/>
      <c r="X118" s="364"/>
      <c r="Y118" s="364"/>
      <c r="Z118" s="364"/>
      <c r="AA118" s="364"/>
      <c r="AB118" s="364"/>
    </row>
    <row r="119" spans="1:30" s="351" customFormat="1" ht="29.25" customHeight="1">
      <c r="A119" s="363"/>
      <c r="B119" s="3588"/>
      <c r="C119" s="612"/>
      <c r="D119" s="612"/>
      <c r="E119" s="612"/>
      <c r="F119" s="612"/>
      <c r="G119" s="612"/>
      <c r="H119" s="364"/>
      <c r="I119" s="364"/>
      <c r="J119" s="364"/>
      <c r="K119" s="364"/>
      <c r="L119" s="364"/>
      <c r="M119" s="364"/>
      <c r="N119" s="364"/>
      <c r="O119" s="364"/>
      <c r="P119" s="364"/>
      <c r="Q119" s="364"/>
      <c r="R119" s="364"/>
      <c r="S119" s="364"/>
      <c r="T119" s="364"/>
      <c r="U119" s="364"/>
      <c r="V119" s="364"/>
      <c r="W119" s="364"/>
      <c r="X119" s="364"/>
      <c r="Y119" s="364"/>
      <c r="Z119" s="364"/>
      <c r="AA119" s="364"/>
      <c r="AB119" s="352"/>
    </row>
    <row r="120" spans="1:30" s="351" customFormat="1">
      <c r="A120" s="363"/>
      <c r="B120" s="3588"/>
      <c r="C120" s="612"/>
      <c r="D120" s="612"/>
      <c r="E120" s="612"/>
      <c r="F120" s="612"/>
      <c r="G120" s="612"/>
      <c r="H120" s="364"/>
      <c r="I120" s="364"/>
      <c r="J120" s="364"/>
      <c r="K120" s="364"/>
      <c r="L120" s="364"/>
      <c r="M120" s="364"/>
      <c r="N120" s="364"/>
      <c r="O120" s="364"/>
      <c r="P120" s="364"/>
      <c r="Q120" s="364"/>
      <c r="R120" s="364"/>
      <c r="S120" s="364"/>
      <c r="T120" s="364"/>
      <c r="U120" s="364"/>
      <c r="V120" s="364"/>
      <c r="W120" s="364"/>
      <c r="X120" s="364"/>
      <c r="Y120" s="364"/>
      <c r="Z120" s="364"/>
      <c r="AA120" s="364"/>
      <c r="AB120" s="364"/>
    </row>
    <row r="121" spans="1:30" s="351" customFormat="1">
      <c r="A121" s="363"/>
      <c r="B121" s="363"/>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row>
    <row r="122" spans="1:30" s="351" customFormat="1">
      <c r="A122" s="363"/>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row>
    <row r="123" spans="1:30" s="351" customFormat="1">
      <c r="A123" s="363"/>
      <c r="B123" s="36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row>
    <row r="124" spans="1:30" s="351" customFormat="1">
      <c r="A124" s="363"/>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72"/>
    </row>
    <row r="125" spans="1:30" s="351" customFormat="1">
      <c r="A125" s="363"/>
      <c r="B125" s="363"/>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row>
    <row r="126" spans="1:30" s="351" customFormat="1">
      <c r="A126" s="363"/>
      <c r="B126" s="363"/>
      <c r="C126" s="364"/>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row>
    <row r="127" spans="1:30" s="351" customFormat="1">
      <c r="A127" s="363"/>
      <c r="B127" s="363"/>
      <c r="C127" s="364"/>
      <c r="D127" s="364"/>
      <c r="E127" s="364"/>
      <c r="F127" s="364"/>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row>
    <row r="128" spans="1:30" s="351" customFormat="1">
      <c r="A128" s="363"/>
      <c r="B128" s="363"/>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row>
    <row r="129" spans="1:30" s="351" customFormat="1">
      <c r="A129" s="363"/>
      <c r="B129" s="363"/>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row>
    <row r="130" spans="1:30" s="351" customFormat="1">
      <c r="A130" s="363"/>
      <c r="B130" s="363"/>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row>
    <row r="131" spans="1:30" s="351" customFormat="1">
      <c r="A131" s="363"/>
      <c r="B131" s="363"/>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row>
    <row r="132" spans="1:30" s="351" customFormat="1">
      <c r="A132" s="363"/>
      <c r="B132" s="363"/>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row>
    <row r="133" spans="1:30" s="351" customFormat="1">
      <c r="A133" s="363"/>
      <c r="B133" s="363"/>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row>
    <row r="134" spans="1:30" s="351" customFormat="1">
      <c r="A134" s="363"/>
      <c r="B134" s="363"/>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row>
    <row r="135" spans="1:30" s="351" customFormat="1">
      <c r="A135" s="363"/>
      <c r="B135" s="363"/>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row>
    <row r="136" spans="1:30" s="351" customFormat="1">
      <c r="A136" s="363"/>
      <c r="B136" s="363"/>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row>
    <row r="137" spans="1:30" s="351" customFormat="1">
      <c r="A137" s="363"/>
      <c r="B137" s="363"/>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c r="AD137" s="364"/>
    </row>
    <row r="138" spans="1:30" s="351" customFormat="1">
      <c r="A138" s="363"/>
      <c r="B138" s="363"/>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row>
    <row r="139" spans="1:30" s="351" customFormat="1">
      <c r="A139" s="363"/>
      <c r="B139" s="363"/>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row>
    <row r="140" spans="1:30" s="351" customFormat="1">
      <c r="A140" s="363"/>
      <c r="B140" s="363"/>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row>
    <row r="141" spans="1:30" s="351" customFormat="1">
      <c r="A141" s="363"/>
      <c r="B141" s="363"/>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row>
    <row r="142" spans="1:30" s="351" customFormat="1">
      <c r="A142" s="363"/>
      <c r="B142" s="363"/>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row>
    <row r="143" spans="1:30" s="351" customFormat="1">
      <c r="A143" s="363"/>
      <c r="B143" s="363"/>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4"/>
      <c r="AD143" s="364"/>
    </row>
    <row r="144" spans="1:30" s="351" customFormat="1">
      <c r="A144" s="363"/>
      <c r="B144" s="363"/>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c r="AD144" s="364"/>
    </row>
    <row r="145" spans="1:30" s="351" customFormat="1">
      <c r="A145" s="363"/>
      <c r="B145" s="363"/>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row>
    <row r="146" spans="1:30" s="351" customFormat="1">
      <c r="A146" s="363"/>
      <c r="B146" s="363"/>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row>
    <row r="147" spans="1:30" s="351" customFormat="1">
      <c r="A147" s="363"/>
      <c r="B147" s="363"/>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4"/>
    </row>
    <row r="148" spans="1:30" s="351" customFormat="1">
      <c r="A148" s="363"/>
      <c r="B148" s="363"/>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row>
    <row r="149" spans="1:30" s="351" customFormat="1">
      <c r="A149" s="363"/>
      <c r="B149" s="363"/>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row>
    <row r="150" spans="1:30" s="351" customFormat="1">
      <c r="A150" s="363"/>
      <c r="B150" s="363"/>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row>
    <row r="151" spans="1:30" s="351" customFormat="1">
      <c r="A151" s="363"/>
      <c r="B151" s="363"/>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row>
    <row r="152" spans="1:30" s="351" customFormat="1">
      <c r="A152" s="363"/>
      <c r="B152" s="363"/>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row>
    <row r="153" spans="1:30" s="351" customFormat="1">
      <c r="A153" s="363"/>
      <c r="B153" s="363"/>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row>
    <row r="154" spans="1:30" s="351" customFormat="1">
      <c r="A154" s="363"/>
      <c r="B154" s="363"/>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row>
    <row r="155" spans="1:30" s="351" customFormat="1">
      <c r="A155" s="363"/>
      <c r="B155" s="363"/>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row>
    <row r="156" spans="1:30" s="351" customFormat="1">
      <c r="A156" s="363"/>
      <c r="B156" s="363"/>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row>
    <row r="157" spans="1:30" s="351" customFormat="1">
      <c r="A157" s="363"/>
      <c r="B157" s="363"/>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row>
    <row r="158" spans="1:30" s="351" customFormat="1">
      <c r="A158" s="363"/>
      <c r="B158" s="363"/>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row>
    <row r="159" spans="1:30" s="351" customFormat="1">
      <c r="A159" s="363"/>
      <c r="B159" s="363"/>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c r="AD159" s="364"/>
    </row>
    <row r="160" spans="1:30" s="351" customFormat="1">
      <c r="A160" s="363"/>
      <c r="B160" s="363"/>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row>
    <row r="161" spans="1:30" s="351" customFormat="1">
      <c r="A161" s="363"/>
      <c r="B161" s="363"/>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row>
    <row r="162" spans="1:30" s="351" customFormat="1">
      <c r="A162" s="363"/>
      <c r="B162" s="363"/>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row>
    <row r="163" spans="1:30" s="351" customFormat="1">
      <c r="A163" s="363"/>
      <c r="B163" s="363"/>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c r="AD163" s="364"/>
    </row>
    <row r="164" spans="1:30" s="351" customFormat="1">
      <c r="A164" s="363"/>
      <c r="B164" s="363"/>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c r="AD164" s="364"/>
    </row>
    <row r="165" spans="1:30" s="351" customFormat="1">
      <c r="A165" s="363"/>
      <c r="B165" s="363"/>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c r="AD165" s="364"/>
    </row>
    <row r="166" spans="1:30" s="351" customFormat="1">
      <c r="A166" s="363"/>
      <c r="B166" s="363"/>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row>
    <row r="167" spans="1:30" s="351" customFormat="1">
      <c r="A167" s="363"/>
      <c r="B167" s="363"/>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c r="AD167" s="364"/>
    </row>
    <row r="168" spans="1:30" s="351" customFormat="1">
      <c r="A168" s="363"/>
      <c r="B168" s="363"/>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c r="AD168" s="364"/>
    </row>
    <row r="169" spans="1:30" s="351" customFormat="1">
      <c r="A169" s="363"/>
      <c r="B169" s="363"/>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64"/>
    </row>
    <row r="170" spans="1:30" s="351" customFormat="1">
      <c r="A170" s="363"/>
      <c r="B170" s="363"/>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row>
    <row r="171" spans="1:30" s="351" customFormat="1">
      <c r="A171" s="363"/>
      <c r="B171" s="363"/>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row>
    <row r="172" spans="1:30" s="351" customFormat="1">
      <c r="A172" s="363"/>
      <c r="B172" s="363"/>
      <c r="C172" s="364"/>
      <c r="D172" s="364"/>
      <c r="E172" s="364"/>
      <c r="F172" s="364"/>
      <c r="G172" s="364"/>
      <c r="H172" s="364"/>
      <c r="I172" s="364"/>
      <c r="J172" s="364"/>
      <c r="K172" s="364"/>
      <c r="L172" s="364"/>
      <c r="M172" s="364"/>
      <c r="N172" s="364"/>
      <c r="O172" s="364"/>
      <c r="P172" s="364"/>
      <c r="Q172" s="364"/>
      <c r="R172" s="364"/>
      <c r="S172" s="364"/>
      <c r="T172" s="364"/>
      <c r="U172" s="364"/>
      <c r="V172" s="364"/>
      <c r="W172" s="364"/>
      <c r="X172" s="364"/>
      <c r="Y172" s="364"/>
      <c r="Z172" s="364"/>
      <c r="AA172" s="364"/>
      <c r="AB172" s="364"/>
      <c r="AC172" s="364"/>
      <c r="AD172" s="364"/>
    </row>
    <row r="173" spans="1:30" s="351" customFormat="1">
      <c r="A173" s="363"/>
      <c r="B173" s="363"/>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row>
    <row r="174" spans="1:30" s="351" customFormat="1">
      <c r="A174" s="363"/>
      <c r="B174" s="363"/>
      <c r="C174" s="364"/>
      <c r="D174" s="364"/>
      <c r="E174" s="364"/>
      <c r="F174" s="364"/>
      <c r="G174" s="364"/>
      <c r="H174" s="364"/>
      <c r="I174" s="364"/>
      <c r="J174" s="364"/>
      <c r="K174" s="364"/>
      <c r="L174" s="364"/>
      <c r="M174" s="364"/>
      <c r="N174" s="364"/>
      <c r="O174" s="364"/>
      <c r="P174" s="364"/>
      <c r="Q174" s="364"/>
      <c r="R174" s="364"/>
      <c r="S174" s="364"/>
      <c r="T174" s="364"/>
      <c r="U174" s="364"/>
      <c r="V174" s="364"/>
      <c r="W174" s="364"/>
      <c r="X174" s="364"/>
      <c r="Y174" s="364"/>
      <c r="Z174" s="364"/>
      <c r="AA174" s="364"/>
      <c r="AB174" s="364"/>
      <c r="AC174" s="364"/>
      <c r="AD174" s="364"/>
    </row>
    <row r="175" spans="1:30" s="351" customFormat="1">
      <c r="A175" s="363"/>
      <c r="B175" s="363"/>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row>
    <row r="176" spans="1:30" s="351" customFormat="1">
      <c r="A176" s="363"/>
      <c r="B176" s="363"/>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row>
    <row r="177" spans="1:30" s="351" customFormat="1">
      <c r="A177" s="363"/>
      <c r="B177" s="363"/>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row>
    <row r="178" spans="1:30" s="351" customFormat="1">
      <c r="A178" s="363"/>
      <c r="B178" s="363"/>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row>
    <row r="179" spans="1:30" s="351" customFormat="1">
      <c r="A179" s="363"/>
      <c r="B179" s="363"/>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row>
    <row r="180" spans="1:30" s="351" customFormat="1">
      <c r="A180" s="363"/>
      <c r="B180" s="363"/>
      <c r="C180" s="364"/>
      <c r="D180" s="364"/>
      <c r="E180" s="364"/>
      <c r="F180" s="364"/>
      <c r="G180" s="364"/>
      <c r="H180" s="364"/>
      <c r="I180" s="364"/>
      <c r="J180" s="364"/>
      <c r="K180" s="364"/>
      <c r="L180" s="364"/>
      <c r="M180" s="364"/>
      <c r="N180" s="364"/>
      <c r="O180" s="364"/>
      <c r="P180" s="364"/>
      <c r="Q180" s="364"/>
      <c r="R180" s="364"/>
      <c r="S180" s="364"/>
      <c r="T180" s="364"/>
      <c r="U180" s="364"/>
      <c r="V180" s="364"/>
      <c r="W180" s="364"/>
      <c r="X180" s="364"/>
      <c r="Y180" s="364"/>
      <c r="Z180" s="364"/>
      <c r="AA180" s="364"/>
      <c r="AB180" s="364"/>
      <c r="AC180" s="364"/>
      <c r="AD180" s="364"/>
    </row>
    <row r="181" spans="1:30" s="351" customFormat="1">
      <c r="A181" s="363"/>
      <c r="B181" s="363"/>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4"/>
      <c r="AA181" s="364"/>
      <c r="AB181" s="364"/>
      <c r="AC181" s="364"/>
      <c r="AD181" s="364"/>
    </row>
    <row r="182" spans="1:30" s="351" customFormat="1">
      <c r="A182" s="363"/>
      <c r="B182" s="363"/>
      <c r="C182" s="364"/>
      <c r="D182" s="364"/>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4"/>
      <c r="AA182" s="364"/>
      <c r="AB182" s="364"/>
      <c r="AC182" s="364"/>
      <c r="AD182" s="364"/>
    </row>
    <row r="183" spans="1:30" s="351" customFormat="1">
      <c r="A183" s="363"/>
      <c r="B183" s="363"/>
      <c r="C183" s="364"/>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364"/>
      <c r="Z183" s="364"/>
      <c r="AA183" s="364"/>
      <c r="AB183" s="364"/>
      <c r="AC183" s="364"/>
      <c r="AD183" s="364"/>
    </row>
    <row r="184" spans="1:30" s="351" customFormat="1">
      <c r="A184" s="363"/>
      <c r="B184" s="363"/>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row>
    <row r="185" spans="1:30" s="351" customFormat="1">
      <c r="A185" s="363"/>
      <c r="B185" s="363"/>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4"/>
      <c r="AA185" s="364"/>
      <c r="AB185" s="364"/>
      <c r="AC185" s="364"/>
      <c r="AD185" s="364"/>
    </row>
    <row r="186" spans="1:30" s="351" customFormat="1">
      <c r="A186" s="363"/>
      <c r="B186" s="363"/>
      <c r="C186" s="364"/>
      <c r="D186" s="364"/>
      <c r="E186" s="364"/>
      <c r="F186" s="364"/>
      <c r="G186" s="364"/>
      <c r="H186" s="364"/>
      <c r="I186" s="364"/>
      <c r="J186" s="364"/>
      <c r="K186" s="364"/>
      <c r="L186" s="364"/>
      <c r="M186" s="364"/>
      <c r="N186" s="364"/>
      <c r="O186" s="364"/>
      <c r="P186" s="364"/>
      <c r="Q186" s="364"/>
      <c r="R186" s="364"/>
      <c r="S186" s="364"/>
      <c r="T186" s="364"/>
      <c r="U186" s="364"/>
      <c r="V186" s="364"/>
      <c r="W186" s="364"/>
      <c r="X186" s="364"/>
      <c r="Y186" s="364"/>
      <c r="Z186" s="364"/>
      <c r="AA186" s="364"/>
      <c r="AB186" s="364"/>
      <c r="AC186" s="364"/>
      <c r="AD186" s="364"/>
    </row>
    <row r="187" spans="1:30" s="351" customFormat="1">
      <c r="A187" s="363"/>
      <c r="B187" s="363"/>
      <c r="C187" s="364"/>
      <c r="D187" s="364"/>
      <c r="E187" s="364"/>
      <c r="F187" s="364"/>
      <c r="G187" s="364"/>
      <c r="H187" s="364"/>
      <c r="I187" s="364"/>
      <c r="J187" s="364"/>
      <c r="K187" s="364"/>
      <c r="L187" s="364"/>
      <c r="M187" s="364"/>
      <c r="N187" s="364"/>
      <c r="O187" s="364"/>
      <c r="P187" s="364"/>
      <c r="Q187" s="364"/>
      <c r="R187" s="364"/>
      <c r="S187" s="364"/>
      <c r="T187" s="364"/>
      <c r="U187" s="364"/>
      <c r="V187" s="364"/>
      <c r="W187" s="364"/>
      <c r="X187" s="364"/>
      <c r="Y187" s="364"/>
      <c r="Z187" s="364"/>
      <c r="AA187" s="364"/>
      <c r="AB187" s="364"/>
      <c r="AC187" s="364"/>
      <c r="AD187" s="364"/>
    </row>
    <row r="188" spans="1:30" s="351" customFormat="1">
      <c r="A188" s="363"/>
      <c r="B188" s="363"/>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4"/>
      <c r="AA188" s="364"/>
      <c r="AB188" s="364"/>
      <c r="AC188" s="364"/>
      <c r="AD188" s="364"/>
    </row>
    <row r="189" spans="1:30" s="351" customFormat="1">
      <c r="A189" s="363"/>
      <c r="B189" s="363"/>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row>
    <row r="190" spans="1:30" s="351" customFormat="1">
      <c r="A190" s="363"/>
      <c r="B190" s="363"/>
      <c r="C190" s="364"/>
      <c r="D190" s="364"/>
      <c r="E190" s="364"/>
      <c r="F190" s="364"/>
      <c r="G190" s="364"/>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row>
    <row r="191" spans="1:30" s="351" customFormat="1">
      <c r="A191" s="363"/>
      <c r="B191" s="363"/>
      <c r="C191" s="364"/>
      <c r="D191" s="364"/>
      <c r="E191" s="364"/>
      <c r="F191" s="364"/>
      <c r="G191" s="364"/>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row>
    <row r="192" spans="1:30" s="351" customFormat="1">
      <c r="A192" s="363"/>
      <c r="B192" s="363"/>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row>
    <row r="193" spans="1:30" s="351" customFormat="1">
      <c r="A193" s="363"/>
      <c r="B193" s="363"/>
      <c r="C193" s="364"/>
      <c r="D193" s="364"/>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row>
    <row r="194" spans="1:30" s="351" customFormat="1">
      <c r="A194" s="363"/>
      <c r="B194" s="363"/>
      <c r="C194" s="364"/>
      <c r="D194" s="364"/>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row>
    <row r="195" spans="1:30" s="351" customFormat="1">
      <c r="A195" s="363"/>
      <c r="B195" s="363"/>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row>
    <row r="196" spans="1:30" s="351" customFormat="1">
      <c r="A196" s="363"/>
      <c r="B196" s="363"/>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row>
    <row r="197" spans="1:30" s="351" customFormat="1">
      <c r="A197" s="363"/>
      <c r="B197" s="363"/>
      <c r="C197" s="364"/>
      <c r="D197" s="364"/>
      <c r="E197" s="364"/>
      <c r="F197" s="364"/>
      <c r="G197" s="364"/>
      <c r="H197" s="364"/>
      <c r="I197" s="364"/>
      <c r="J197" s="364"/>
      <c r="K197" s="364"/>
      <c r="L197" s="364"/>
      <c r="M197" s="364"/>
      <c r="N197" s="364"/>
      <c r="O197" s="364"/>
      <c r="P197" s="364"/>
      <c r="Q197" s="364"/>
      <c r="R197" s="364"/>
      <c r="S197" s="364"/>
      <c r="T197" s="364"/>
      <c r="U197" s="364"/>
      <c r="V197" s="364"/>
      <c r="W197" s="364"/>
      <c r="X197" s="364"/>
      <c r="Y197" s="364"/>
      <c r="Z197" s="364"/>
      <c r="AA197" s="364"/>
      <c r="AB197" s="364"/>
      <c r="AC197" s="364"/>
      <c r="AD197" s="364"/>
    </row>
    <row r="198" spans="1:30" s="351" customFormat="1">
      <c r="A198" s="363"/>
      <c r="B198" s="363"/>
      <c r="C198" s="364"/>
      <c r="D198" s="364"/>
      <c r="E198" s="364"/>
      <c r="F198" s="364"/>
      <c r="G198" s="364"/>
      <c r="H198" s="364"/>
      <c r="I198" s="364"/>
      <c r="J198" s="364"/>
      <c r="K198" s="364"/>
      <c r="L198" s="364"/>
      <c r="M198" s="364"/>
      <c r="N198" s="364"/>
      <c r="O198" s="364"/>
      <c r="P198" s="364"/>
      <c r="Q198" s="364"/>
      <c r="R198" s="364"/>
      <c r="S198" s="364"/>
      <c r="T198" s="364"/>
      <c r="U198" s="364"/>
      <c r="V198" s="364"/>
      <c r="W198" s="364"/>
      <c r="X198" s="364"/>
      <c r="Y198" s="364"/>
      <c r="Z198" s="364"/>
      <c r="AA198" s="364"/>
      <c r="AB198" s="364"/>
      <c r="AC198" s="364"/>
      <c r="AD198" s="364"/>
    </row>
    <row r="199" spans="1:30" s="351" customFormat="1">
      <c r="A199" s="363"/>
      <c r="B199" s="363"/>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row>
    <row r="200" spans="1:30" s="351" customFormat="1">
      <c r="A200" s="363"/>
      <c r="B200" s="363"/>
      <c r="C200" s="364"/>
      <c r="D200" s="364"/>
      <c r="E200" s="364"/>
      <c r="F200" s="364"/>
      <c r="G200" s="364"/>
      <c r="H200" s="364"/>
      <c r="I200" s="364"/>
      <c r="J200" s="364"/>
      <c r="K200" s="364"/>
      <c r="L200" s="364"/>
      <c r="M200" s="364"/>
      <c r="N200" s="364"/>
      <c r="O200" s="364"/>
      <c r="P200" s="364"/>
      <c r="Q200" s="364"/>
      <c r="R200" s="364"/>
      <c r="S200" s="364"/>
      <c r="T200" s="364"/>
      <c r="U200" s="364"/>
      <c r="V200" s="364"/>
      <c r="W200" s="364"/>
      <c r="X200" s="364"/>
      <c r="Y200" s="364"/>
      <c r="Z200" s="364"/>
      <c r="AA200" s="364"/>
      <c r="AB200" s="364"/>
      <c r="AC200" s="364"/>
      <c r="AD200" s="364"/>
    </row>
    <row r="201" spans="1:30" s="351" customFormat="1">
      <c r="A201" s="363"/>
      <c r="B201" s="363"/>
      <c r="C201" s="364"/>
      <c r="D201" s="364"/>
      <c r="E201" s="364"/>
      <c r="F201" s="364"/>
      <c r="G201" s="364"/>
      <c r="H201" s="364"/>
      <c r="I201" s="364"/>
      <c r="J201" s="364"/>
      <c r="K201" s="364"/>
      <c r="L201" s="364"/>
      <c r="M201" s="364"/>
      <c r="N201" s="364"/>
      <c r="O201" s="364"/>
      <c r="P201" s="364"/>
      <c r="Q201" s="364"/>
      <c r="R201" s="364"/>
      <c r="S201" s="364"/>
      <c r="T201" s="364"/>
      <c r="U201" s="364"/>
      <c r="V201" s="364"/>
      <c r="W201" s="364"/>
      <c r="X201" s="364"/>
      <c r="Y201" s="364"/>
      <c r="Z201" s="364"/>
      <c r="AA201" s="364"/>
      <c r="AB201" s="364"/>
      <c r="AC201" s="364"/>
      <c r="AD201" s="364"/>
    </row>
    <row r="202" spans="1:30" s="351" customFormat="1">
      <c r="A202" s="363"/>
      <c r="B202" s="363"/>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row>
    <row r="203" spans="1:30" s="351" customFormat="1">
      <c r="A203" s="363"/>
      <c r="B203" s="363"/>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row>
    <row r="204" spans="1:30" s="351" customFormat="1">
      <c r="A204" s="363"/>
      <c r="B204" s="363"/>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row>
    <row r="205" spans="1:30" s="351" customFormat="1">
      <c r="A205" s="363"/>
      <c r="B205" s="363"/>
      <c r="C205" s="364"/>
      <c r="D205" s="364"/>
      <c r="E205" s="364"/>
      <c r="F205" s="364"/>
      <c r="G205" s="364"/>
      <c r="H205" s="364"/>
      <c r="I205" s="364"/>
      <c r="J205" s="364"/>
      <c r="K205" s="364"/>
      <c r="L205" s="364"/>
      <c r="M205" s="364"/>
      <c r="N205" s="364"/>
      <c r="O205" s="364"/>
      <c r="P205" s="364"/>
      <c r="Q205" s="364"/>
      <c r="R205" s="364"/>
      <c r="S205" s="364"/>
      <c r="T205" s="364"/>
      <c r="U205" s="364"/>
      <c r="V205" s="364"/>
      <c r="W205" s="364"/>
      <c r="X205" s="364"/>
      <c r="Y205" s="364"/>
      <c r="Z205" s="364"/>
      <c r="AA205" s="364"/>
      <c r="AB205" s="364"/>
      <c r="AC205" s="364"/>
      <c r="AD205" s="364"/>
    </row>
    <row r="206" spans="1:30" s="351" customFormat="1">
      <c r="A206" s="363"/>
      <c r="B206" s="363"/>
      <c r="C206" s="364"/>
      <c r="D206" s="364"/>
      <c r="E206" s="364"/>
      <c r="F206" s="364"/>
      <c r="G206" s="364"/>
      <c r="H206" s="364"/>
      <c r="I206" s="364"/>
      <c r="J206" s="364"/>
      <c r="K206" s="364"/>
      <c r="L206" s="364"/>
      <c r="M206" s="364"/>
      <c r="N206" s="364"/>
      <c r="O206" s="364"/>
      <c r="P206" s="364"/>
      <c r="Q206" s="364"/>
      <c r="R206" s="364"/>
      <c r="S206" s="364"/>
      <c r="T206" s="364"/>
      <c r="U206" s="364"/>
      <c r="V206" s="364"/>
      <c r="W206" s="364"/>
      <c r="X206" s="364"/>
      <c r="Y206" s="364"/>
      <c r="Z206" s="364"/>
      <c r="AA206" s="364"/>
      <c r="AB206" s="364"/>
      <c r="AC206" s="364"/>
      <c r="AD206" s="364"/>
    </row>
    <row r="207" spans="1:30" s="351" customFormat="1">
      <c r="A207" s="363"/>
      <c r="B207" s="363"/>
      <c r="C207" s="364"/>
      <c r="D207" s="364"/>
      <c r="E207" s="364"/>
      <c r="F207" s="364"/>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364"/>
    </row>
    <row r="208" spans="1:30" s="351" customFormat="1">
      <c r="A208" s="363"/>
      <c r="B208" s="363"/>
      <c r="C208" s="364"/>
      <c r="D208" s="364"/>
      <c r="E208" s="364"/>
      <c r="F208" s="364"/>
      <c r="G208" s="364"/>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364"/>
    </row>
    <row r="209" spans="1:30" s="351" customFormat="1">
      <c r="A209" s="363"/>
      <c r="B209" s="363"/>
      <c r="C209" s="364"/>
      <c r="D209" s="364"/>
      <c r="E209" s="364"/>
      <c r="F209" s="364"/>
      <c r="G209" s="364"/>
      <c r="H209" s="364"/>
      <c r="I209" s="364"/>
      <c r="J209" s="364"/>
      <c r="K209" s="364"/>
      <c r="L209" s="364"/>
      <c r="M209" s="364"/>
      <c r="N209" s="364"/>
      <c r="O209" s="364"/>
      <c r="P209" s="364"/>
      <c r="Q209" s="364"/>
      <c r="R209" s="364"/>
      <c r="S209" s="364"/>
      <c r="T209" s="364"/>
      <c r="U209" s="364"/>
      <c r="V209" s="364"/>
      <c r="W209" s="364"/>
      <c r="X209" s="364"/>
      <c r="Y209" s="364"/>
      <c r="Z209" s="364"/>
      <c r="AA209" s="364"/>
      <c r="AB209" s="364"/>
      <c r="AC209" s="364"/>
      <c r="AD209" s="364"/>
    </row>
    <row r="210" spans="1:30" s="351" customFormat="1">
      <c r="A210" s="363"/>
      <c r="B210" s="363"/>
      <c r="C210" s="364"/>
      <c r="D210" s="364"/>
      <c r="E210" s="364"/>
      <c r="F210" s="364"/>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364"/>
    </row>
    <row r="211" spans="1:30" s="351" customFormat="1">
      <c r="A211" s="363"/>
      <c r="B211" s="363"/>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row>
    <row r="212" spans="1:30" s="351" customFormat="1">
      <c r="A212" s="363"/>
      <c r="B212" s="363"/>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row>
    <row r="213" spans="1:30" s="351" customFormat="1">
      <c r="A213" s="363"/>
      <c r="B213" s="363"/>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4"/>
      <c r="AD213" s="364"/>
    </row>
    <row r="214" spans="1:30" s="351" customFormat="1">
      <c r="A214" s="363"/>
      <c r="B214" s="363"/>
      <c r="C214" s="364"/>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4"/>
      <c r="AA214" s="364"/>
      <c r="AB214" s="364"/>
      <c r="AC214" s="364"/>
      <c r="AD214" s="364"/>
    </row>
    <row r="215" spans="1:30" s="351" customFormat="1">
      <c r="A215" s="363"/>
      <c r="B215" s="363"/>
      <c r="C215" s="364"/>
      <c r="D215" s="364"/>
      <c r="E215" s="364"/>
      <c r="F215" s="364"/>
      <c r="G215" s="364"/>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row>
    <row r="216" spans="1:30" s="351" customFormat="1">
      <c r="A216" s="363"/>
      <c r="B216" s="363"/>
      <c r="C216" s="364"/>
      <c r="D216" s="364"/>
      <c r="E216" s="364"/>
      <c r="F216" s="364"/>
      <c r="G216" s="364"/>
      <c r="H216" s="364"/>
      <c r="I216" s="364"/>
      <c r="J216" s="364"/>
      <c r="K216" s="364"/>
      <c r="L216" s="364"/>
      <c r="M216" s="364"/>
      <c r="N216" s="364"/>
      <c r="O216" s="364"/>
      <c r="P216" s="364"/>
      <c r="Q216" s="364"/>
      <c r="R216" s="364"/>
      <c r="S216" s="364"/>
      <c r="T216" s="364"/>
      <c r="U216" s="364"/>
      <c r="V216" s="364"/>
      <c r="W216" s="364"/>
      <c r="X216" s="364"/>
      <c r="Y216" s="364"/>
      <c r="Z216" s="364"/>
      <c r="AA216" s="364"/>
      <c r="AB216" s="364"/>
      <c r="AC216" s="364"/>
      <c r="AD216" s="364"/>
    </row>
    <row r="217" spans="1:30" s="351" customFormat="1">
      <c r="A217" s="363"/>
      <c r="B217" s="363"/>
      <c r="C217" s="364"/>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row>
    <row r="218" spans="1:30" s="351" customFormat="1">
      <c r="A218" s="363"/>
      <c r="B218" s="363"/>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row>
    <row r="219" spans="1:30" s="351" customFormat="1">
      <c r="A219" s="363"/>
      <c r="B219" s="363"/>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row>
    <row r="220" spans="1:30" s="351" customFormat="1">
      <c r="A220" s="363"/>
      <c r="B220" s="363"/>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row>
    <row r="221" spans="1:30" s="351" customFormat="1">
      <c r="A221" s="363"/>
      <c r="B221" s="363"/>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row>
    <row r="222" spans="1:30" s="351" customFormat="1">
      <c r="A222" s="363"/>
      <c r="B222" s="363"/>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row>
    <row r="223" spans="1:30" s="351" customFormat="1">
      <c r="A223" s="363"/>
      <c r="B223" s="363"/>
      <c r="C223" s="364"/>
      <c r="D223" s="364"/>
      <c r="E223" s="364"/>
      <c r="F223" s="364"/>
      <c r="G223" s="364"/>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4"/>
      <c r="AD223" s="364"/>
    </row>
    <row r="224" spans="1:30" s="351" customFormat="1">
      <c r="A224" s="363"/>
      <c r="B224" s="363"/>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row>
    <row r="225" spans="1:30" s="351" customFormat="1">
      <c r="A225" s="363"/>
      <c r="B225" s="363"/>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row>
    <row r="226" spans="1:30" s="351" customFormat="1">
      <c r="A226" s="363"/>
      <c r="B226" s="363"/>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row>
    <row r="227" spans="1:30" s="351" customFormat="1">
      <c r="A227" s="363"/>
      <c r="B227" s="363"/>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row>
    <row r="228" spans="1:30" s="351" customFormat="1">
      <c r="A228" s="363"/>
      <c r="B228" s="363"/>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64"/>
      <c r="Y228" s="364"/>
      <c r="Z228" s="364"/>
      <c r="AA228" s="364"/>
      <c r="AB228" s="364"/>
      <c r="AC228" s="364"/>
      <c r="AD228" s="364"/>
    </row>
    <row r="229" spans="1:30" s="351" customFormat="1">
      <c r="A229" s="363"/>
      <c r="B229" s="363"/>
      <c r="C229" s="364"/>
      <c r="D229" s="364"/>
      <c r="E229" s="364"/>
      <c r="F229" s="364"/>
      <c r="G229" s="364"/>
      <c r="H229" s="364"/>
      <c r="I229" s="364"/>
      <c r="J229" s="364"/>
      <c r="K229" s="364"/>
      <c r="L229" s="364"/>
      <c r="M229" s="364"/>
      <c r="N229" s="364"/>
      <c r="O229" s="364"/>
      <c r="P229" s="364"/>
      <c r="Q229" s="364"/>
      <c r="R229" s="364"/>
      <c r="S229" s="364"/>
      <c r="T229" s="364"/>
      <c r="U229" s="364"/>
      <c r="V229" s="364"/>
      <c r="W229" s="364"/>
      <c r="X229" s="364"/>
      <c r="Y229" s="364"/>
      <c r="Z229" s="364"/>
      <c r="AA229" s="364"/>
      <c r="AB229" s="364"/>
      <c r="AC229" s="364"/>
      <c r="AD229" s="364"/>
    </row>
    <row r="230" spans="1:30" s="351" customFormat="1">
      <c r="A230" s="363"/>
      <c r="B230" s="363"/>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row>
    <row r="231" spans="1:30" s="351" customFormat="1">
      <c r="A231" s="363"/>
      <c r="B231" s="363"/>
      <c r="C231" s="364"/>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row>
    <row r="232" spans="1:30" s="351" customFormat="1">
      <c r="A232" s="363"/>
      <c r="B232" s="363"/>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row>
    <row r="233" spans="1:30" s="351" customFormat="1">
      <c r="A233" s="363"/>
      <c r="B233" s="363"/>
      <c r="C233" s="364"/>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64"/>
      <c r="AD233" s="364"/>
    </row>
    <row r="234" spans="1:30" s="351" customFormat="1">
      <c r="A234" s="363"/>
      <c r="B234" s="363"/>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row>
    <row r="235" spans="1:30" s="351" customFormat="1">
      <c r="A235" s="363"/>
      <c r="B235" s="363"/>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row>
    <row r="236" spans="1:30" s="351" customFormat="1">
      <c r="A236" s="363"/>
      <c r="B236" s="36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row>
    <row r="237" spans="1:30" s="351" customFormat="1">
      <c r="A237" s="363"/>
      <c r="B237" s="363"/>
      <c r="C237" s="364"/>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row>
    <row r="238" spans="1:30" s="351" customFormat="1">
      <c r="A238" s="363"/>
      <c r="B238" s="363"/>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row>
    <row r="239" spans="1:30" s="351" customFormat="1">
      <c r="A239" s="363"/>
      <c r="B239" s="363"/>
      <c r="C239" s="364"/>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4"/>
    </row>
    <row r="240" spans="1:30" s="351" customFormat="1">
      <c r="A240" s="363"/>
      <c r="B240" s="363"/>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row>
    <row r="241" spans="1:30" s="351" customFormat="1">
      <c r="A241" s="363"/>
      <c r="B241" s="363"/>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row>
    <row r="242" spans="1:30" s="351" customFormat="1">
      <c r="A242" s="363"/>
      <c r="B242" s="363"/>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4"/>
      <c r="AA242" s="364"/>
      <c r="AB242" s="364"/>
      <c r="AC242" s="364"/>
      <c r="AD242" s="364"/>
    </row>
    <row r="243" spans="1:30" s="351" customFormat="1">
      <c r="A243" s="363"/>
      <c r="B243" s="363"/>
      <c r="C243" s="364"/>
      <c r="D243" s="364"/>
      <c r="E243" s="364"/>
      <c r="F243" s="364"/>
      <c r="G243" s="364"/>
      <c r="H243" s="364"/>
      <c r="I243" s="364"/>
      <c r="J243" s="364"/>
      <c r="K243" s="364"/>
      <c r="L243" s="364"/>
      <c r="M243" s="364"/>
      <c r="N243" s="364"/>
      <c r="O243" s="364"/>
      <c r="P243" s="364"/>
      <c r="Q243" s="364"/>
      <c r="R243" s="364"/>
      <c r="S243" s="364"/>
      <c r="T243" s="364"/>
      <c r="U243" s="364"/>
      <c r="V243" s="364"/>
      <c r="W243" s="364"/>
      <c r="X243" s="364"/>
      <c r="Y243" s="364"/>
      <c r="Z243" s="364"/>
      <c r="AA243" s="364"/>
      <c r="AB243" s="364"/>
      <c r="AC243" s="364"/>
      <c r="AD243" s="364"/>
    </row>
    <row r="244" spans="1:30" s="351" customFormat="1">
      <c r="A244" s="363"/>
      <c r="B244" s="363"/>
      <c r="C244" s="364"/>
      <c r="D244" s="364"/>
      <c r="E244" s="364"/>
      <c r="F244" s="364"/>
      <c r="G244" s="364"/>
      <c r="H244" s="364"/>
      <c r="I244" s="364"/>
      <c r="J244" s="364"/>
      <c r="K244" s="364"/>
      <c r="L244" s="364"/>
      <c r="M244" s="364"/>
      <c r="N244" s="364"/>
      <c r="O244" s="364"/>
      <c r="P244" s="364"/>
      <c r="Q244" s="364"/>
      <c r="R244" s="364"/>
      <c r="S244" s="364"/>
      <c r="T244" s="364"/>
      <c r="U244" s="364"/>
      <c r="V244" s="364"/>
      <c r="W244" s="364"/>
      <c r="X244" s="364"/>
      <c r="Y244" s="364"/>
      <c r="Z244" s="364"/>
      <c r="AA244" s="364"/>
      <c r="AB244" s="364"/>
      <c r="AC244" s="364"/>
      <c r="AD244" s="364"/>
    </row>
    <row r="245" spans="1:30" s="351" customFormat="1">
      <c r="A245" s="363"/>
      <c r="B245" s="363"/>
      <c r="C245" s="364"/>
      <c r="D245" s="364"/>
      <c r="E245" s="364"/>
      <c r="F245" s="364"/>
      <c r="G245" s="364"/>
      <c r="H245" s="364"/>
      <c r="I245" s="364"/>
      <c r="J245" s="364"/>
      <c r="K245" s="364"/>
      <c r="L245" s="364"/>
      <c r="M245" s="364"/>
      <c r="N245" s="364"/>
      <c r="O245" s="364"/>
      <c r="P245" s="364"/>
      <c r="Q245" s="364"/>
      <c r="R245" s="364"/>
      <c r="S245" s="364"/>
      <c r="T245" s="364"/>
      <c r="U245" s="364"/>
      <c r="V245" s="364"/>
      <c r="W245" s="364"/>
      <c r="X245" s="364"/>
      <c r="Y245" s="364"/>
      <c r="Z245" s="364"/>
      <c r="AA245" s="364"/>
      <c r="AB245" s="364"/>
      <c r="AC245" s="364"/>
      <c r="AD245" s="364"/>
    </row>
    <row r="246" spans="1:30" s="351" customFormat="1">
      <c r="A246" s="363"/>
      <c r="B246" s="363"/>
      <c r="C246" s="364"/>
      <c r="D246" s="364"/>
      <c r="E246" s="364"/>
      <c r="F246" s="364"/>
      <c r="G246" s="364"/>
      <c r="H246" s="364"/>
      <c r="I246" s="364"/>
      <c r="J246" s="364"/>
      <c r="K246" s="364"/>
      <c r="L246" s="364"/>
      <c r="M246" s="364"/>
      <c r="N246" s="364"/>
      <c r="O246" s="364"/>
      <c r="P246" s="364"/>
      <c r="Q246" s="364"/>
      <c r="R246" s="364"/>
      <c r="S246" s="364"/>
      <c r="T246" s="364"/>
      <c r="U246" s="364"/>
      <c r="V246" s="364"/>
      <c r="W246" s="364"/>
      <c r="X246" s="364"/>
      <c r="Y246" s="364"/>
      <c r="Z246" s="364"/>
      <c r="AA246" s="364"/>
      <c r="AB246" s="364"/>
      <c r="AC246" s="364"/>
      <c r="AD246" s="364"/>
    </row>
    <row r="247" spans="1:30" s="351" customFormat="1">
      <c r="A247" s="363"/>
      <c r="B247" s="363"/>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row>
    <row r="248" spans="1:30" s="351" customFormat="1">
      <c r="A248" s="363"/>
      <c r="B248" s="363"/>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4"/>
      <c r="AB248" s="364"/>
      <c r="AC248" s="364"/>
      <c r="AD248" s="364"/>
    </row>
    <row r="249" spans="1:30" s="351" customFormat="1">
      <c r="A249" s="363"/>
      <c r="B249" s="363"/>
      <c r="C249" s="364"/>
      <c r="D249" s="364"/>
      <c r="E249" s="364"/>
      <c r="F249" s="364"/>
      <c r="G249" s="364"/>
      <c r="H249" s="364"/>
      <c r="I249" s="364"/>
      <c r="J249" s="364"/>
      <c r="K249" s="364"/>
      <c r="L249" s="364"/>
      <c r="M249" s="364"/>
      <c r="N249" s="364"/>
      <c r="O249" s="364"/>
      <c r="P249" s="364"/>
      <c r="Q249" s="364"/>
      <c r="R249" s="364"/>
      <c r="S249" s="364"/>
      <c r="T249" s="364"/>
      <c r="U249" s="364"/>
      <c r="V249" s="364"/>
      <c r="W249" s="364"/>
      <c r="X249" s="364"/>
      <c r="Y249" s="364"/>
      <c r="Z249" s="364"/>
      <c r="AA249" s="364"/>
      <c r="AB249" s="364"/>
      <c r="AC249" s="364"/>
      <c r="AD249" s="364"/>
    </row>
    <row r="250" spans="1:30" s="351" customFormat="1">
      <c r="A250" s="363"/>
      <c r="B250" s="363"/>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row>
    <row r="251" spans="1:30" s="351" customFormat="1">
      <c r="A251" s="363"/>
      <c r="B251" s="363"/>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row>
    <row r="252" spans="1:30" s="351" customFormat="1">
      <c r="A252" s="363"/>
      <c r="B252" s="363"/>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row>
    <row r="253" spans="1:30" s="351" customFormat="1">
      <c r="A253" s="363"/>
      <c r="B253" s="363"/>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row>
    <row r="254" spans="1:30" s="351" customFormat="1">
      <c r="A254" s="363"/>
      <c r="B254" s="363"/>
      <c r="C254" s="364"/>
      <c r="D254" s="364"/>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row>
    <row r="255" spans="1:30" s="351" customFormat="1">
      <c r="A255" s="363"/>
      <c r="B255" s="363"/>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row>
    <row r="256" spans="1:30" s="351" customFormat="1">
      <c r="A256" s="363"/>
      <c r="B256" s="363"/>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row>
    <row r="257" spans="1:30" s="351" customFormat="1">
      <c r="A257" s="363"/>
      <c r="B257" s="363"/>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row>
    <row r="258" spans="1:30" s="351" customFormat="1">
      <c r="A258" s="363"/>
      <c r="B258" s="363"/>
      <c r="C258" s="364"/>
      <c r="D258" s="364"/>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4"/>
      <c r="AB258" s="364"/>
      <c r="AC258" s="364"/>
      <c r="AD258" s="364"/>
    </row>
    <row r="259" spans="1:30" s="351" customFormat="1">
      <c r="A259" s="363"/>
      <c r="B259" s="363"/>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4"/>
      <c r="AC259" s="364"/>
      <c r="AD259" s="364"/>
    </row>
    <row r="260" spans="1:30" s="351" customFormat="1">
      <c r="A260" s="363"/>
      <c r="B260" s="363"/>
      <c r="C260" s="364"/>
      <c r="D260" s="364"/>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4"/>
      <c r="AB260" s="364"/>
      <c r="AC260" s="364"/>
      <c r="AD260" s="364"/>
    </row>
    <row r="261" spans="1:30" s="351" customFormat="1">
      <c r="A261" s="363"/>
      <c r="B261" s="363"/>
      <c r="C261" s="364"/>
      <c r="D261" s="364"/>
      <c r="E261" s="364"/>
      <c r="F261" s="364"/>
      <c r="G261" s="364"/>
      <c r="H261" s="364"/>
      <c r="I261" s="364"/>
      <c r="J261" s="364"/>
      <c r="K261" s="364"/>
      <c r="L261" s="364"/>
      <c r="M261" s="364"/>
      <c r="N261" s="364"/>
      <c r="O261" s="364"/>
      <c r="P261" s="364"/>
      <c r="Q261" s="364"/>
      <c r="R261" s="364"/>
      <c r="S261" s="364"/>
      <c r="T261" s="364"/>
      <c r="U261" s="364"/>
      <c r="V261" s="364"/>
      <c r="W261" s="364"/>
      <c r="X261" s="364"/>
      <c r="Y261" s="364"/>
      <c r="Z261" s="364"/>
      <c r="AA261" s="364"/>
      <c r="AB261" s="364"/>
      <c r="AC261" s="364"/>
      <c r="AD261" s="364"/>
    </row>
    <row r="262" spans="1:30" s="351" customFormat="1">
      <c r="A262" s="363"/>
      <c r="B262" s="363"/>
      <c r="C262" s="364"/>
      <c r="D262" s="364"/>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4"/>
      <c r="AB262" s="364"/>
      <c r="AC262" s="364"/>
      <c r="AD262" s="364"/>
    </row>
    <row r="263" spans="1:30" s="351" customFormat="1">
      <c r="A263" s="363"/>
      <c r="B263" s="363"/>
      <c r="C263" s="364"/>
      <c r="D263" s="364"/>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row>
    <row r="264" spans="1:30" s="351" customFormat="1">
      <c r="A264" s="363"/>
      <c r="B264" s="363"/>
      <c r="C264" s="364"/>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364"/>
      <c r="AC264" s="364"/>
      <c r="AD264" s="364"/>
    </row>
    <row r="265" spans="1:30" s="351" customFormat="1">
      <c r="A265" s="363"/>
      <c r="B265" s="363"/>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row>
    <row r="266" spans="1:30" s="351" customFormat="1">
      <c r="A266" s="363"/>
      <c r="B266" s="363"/>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row>
    <row r="267" spans="1:30" s="351" customFormat="1">
      <c r="A267" s="363"/>
      <c r="B267" s="363"/>
      <c r="C267" s="364"/>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4"/>
      <c r="AB267" s="364"/>
      <c r="AC267" s="364"/>
      <c r="AD267" s="364"/>
    </row>
    <row r="268" spans="1:30" s="351" customFormat="1">
      <c r="A268" s="363"/>
      <c r="B268" s="363"/>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row>
    <row r="269" spans="1:30" s="351" customFormat="1">
      <c r="A269" s="363"/>
      <c r="B269" s="363"/>
      <c r="C269" s="364"/>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4"/>
      <c r="AA269" s="364"/>
      <c r="AB269" s="364"/>
      <c r="AC269" s="364"/>
      <c r="AD269" s="364"/>
    </row>
    <row r="270" spans="1:30" s="351" customFormat="1">
      <c r="A270" s="363"/>
      <c r="B270" s="363"/>
      <c r="C270" s="364"/>
      <c r="D270" s="364"/>
      <c r="E270" s="364"/>
      <c r="F270" s="364"/>
      <c r="G270" s="364"/>
      <c r="H270" s="364"/>
      <c r="I270" s="364"/>
      <c r="J270" s="364"/>
      <c r="K270" s="364"/>
      <c r="L270" s="364"/>
      <c r="M270" s="364"/>
      <c r="N270" s="364"/>
      <c r="O270" s="364"/>
      <c r="P270" s="364"/>
      <c r="Q270" s="364"/>
      <c r="R270" s="364"/>
      <c r="S270" s="364"/>
      <c r="T270" s="364"/>
      <c r="U270" s="364"/>
      <c r="V270" s="364"/>
      <c r="W270" s="364"/>
      <c r="X270" s="364"/>
      <c r="Y270" s="364"/>
      <c r="Z270" s="364"/>
      <c r="AA270" s="364"/>
      <c r="AB270" s="364"/>
      <c r="AC270" s="364"/>
      <c r="AD270" s="364"/>
    </row>
    <row r="271" spans="1:30" s="351" customFormat="1">
      <c r="A271" s="363"/>
      <c r="B271" s="363"/>
      <c r="C271" s="364"/>
      <c r="D271" s="364"/>
      <c r="E271" s="364"/>
      <c r="F271" s="364"/>
      <c r="G271" s="364"/>
      <c r="H271" s="364"/>
      <c r="I271" s="364"/>
      <c r="J271" s="364"/>
      <c r="K271" s="364"/>
      <c r="L271" s="364"/>
      <c r="M271" s="364"/>
      <c r="N271" s="364"/>
      <c r="O271" s="364"/>
      <c r="P271" s="364"/>
      <c r="Q271" s="364"/>
      <c r="R271" s="364"/>
      <c r="S271" s="364"/>
      <c r="T271" s="364"/>
      <c r="U271" s="364"/>
      <c r="V271" s="364"/>
      <c r="W271" s="364"/>
      <c r="X271" s="364"/>
      <c r="Y271" s="364"/>
      <c r="Z271" s="364"/>
      <c r="AA271" s="364"/>
      <c r="AB271" s="364"/>
      <c r="AC271" s="364"/>
      <c r="AD271" s="364"/>
    </row>
    <row r="272" spans="1:30" s="351" customFormat="1">
      <c r="A272" s="363"/>
      <c r="B272" s="363"/>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row>
    <row r="273" spans="1:30" s="351" customFormat="1">
      <c r="A273" s="363"/>
      <c r="B273" s="363"/>
      <c r="C273" s="364"/>
      <c r="D273" s="364"/>
      <c r="E273" s="364"/>
      <c r="F273" s="364"/>
      <c r="G273" s="364"/>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row>
    <row r="274" spans="1:30" s="351" customFormat="1">
      <c r="A274" s="363"/>
      <c r="B274" s="363"/>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row>
    <row r="275" spans="1:30" s="351" customFormat="1">
      <c r="A275" s="363"/>
      <c r="B275" s="363"/>
      <c r="C275" s="364"/>
      <c r="D275" s="364"/>
      <c r="E275" s="364"/>
      <c r="F275" s="364"/>
      <c r="G275" s="364"/>
      <c r="H275" s="364"/>
      <c r="I275" s="364"/>
      <c r="J275" s="364"/>
      <c r="K275" s="364"/>
      <c r="L275" s="364"/>
      <c r="M275" s="364"/>
      <c r="N275" s="364"/>
      <c r="O275" s="364"/>
      <c r="P275" s="364"/>
      <c r="Q275" s="364"/>
      <c r="R275" s="364"/>
      <c r="S275" s="364"/>
      <c r="T275" s="364"/>
      <c r="U275" s="364"/>
      <c r="V275" s="364"/>
      <c r="W275" s="364"/>
      <c r="X275" s="364"/>
      <c r="Y275" s="364"/>
      <c r="Z275" s="364"/>
      <c r="AA275" s="364"/>
      <c r="AB275" s="364"/>
      <c r="AC275" s="364"/>
      <c r="AD275" s="364"/>
    </row>
    <row r="276" spans="1:30" s="351" customFormat="1">
      <c r="A276" s="363"/>
      <c r="B276" s="363"/>
      <c r="C276" s="364"/>
      <c r="D276" s="364"/>
      <c r="E276" s="364"/>
      <c r="F276" s="364"/>
      <c r="G276" s="364"/>
      <c r="H276" s="364"/>
      <c r="I276" s="364"/>
      <c r="J276" s="364"/>
      <c r="K276" s="364"/>
      <c r="L276" s="364"/>
      <c r="M276" s="364"/>
      <c r="N276" s="364"/>
      <c r="O276" s="364"/>
      <c r="P276" s="364"/>
      <c r="Q276" s="364"/>
      <c r="R276" s="364"/>
      <c r="S276" s="364"/>
      <c r="T276" s="364"/>
      <c r="U276" s="364"/>
      <c r="V276" s="364"/>
      <c r="W276" s="364"/>
      <c r="X276" s="364"/>
      <c r="Y276" s="364"/>
      <c r="Z276" s="364"/>
      <c r="AA276" s="364"/>
      <c r="AB276" s="364"/>
      <c r="AC276" s="364"/>
      <c r="AD276" s="364"/>
    </row>
    <row r="277" spans="1:30" s="351" customFormat="1">
      <c r="A277" s="363"/>
      <c r="B277" s="363"/>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4"/>
      <c r="AC277" s="364"/>
      <c r="AD277" s="364"/>
    </row>
    <row r="278" spans="1:30" s="351" customFormat="1">
      <c r="A278" s="363"/>
      <c r="B278" s="363"/>
      <c r="C278" s="364"/>
      <c r="D278" s="364"/>
      <c r="E278" s="364"/>
      <c r="F278" s="364"/>
      <c r="G278" s="364"/>
      <c r="H278" s="364"/>
      <c r="I278" s="364"/>
      <c r="J278" s="364"/>
      <c r="K278" s="364"/>
      <c r="L278" s="364"/>
      <c r="M278" s="364"/>
      <c r="N278" s="364"/>
      <c r="O278" s="364"/>
      <c r="P278" s="364"/>
      <c r="Q278" s="364"/>
      <c r="R278" s="364"/>
      <c r="S278" s="364"/>
      <c r="T278" s="364"/>
      <c r="U278" s="364"/>
      <c r="V278" s="364"/>
      <c r="W278" s="364"/>
      <c r="X278" s="364"/>
      <c r="Y278" s="364"/>
      <c r="Z278" s="364"/>
      <c r="AA278" s="364"/>
      <c r="AB278" s="364"/>
      <c r="AC278" s="364"/>
      <c r="AD278" s="364"/>
    </row>
    <row r="279" spans="1:30" s="351" customFormat="1">
      <c r="A279" s="363"/>
      <c r="B279" s="363"/>
      <c r="C279" s="364"/>
      <c r="D279" s="364"/>
      <c r="E279" s="364"/>
      <c r="F279" s="364"/>
      <c r="G279" s="364"/>
      <c r="H279" s="364"/>
      <c r="I279" s="364"/>
      <c r="J279" s="364"/>
      <c r="K279" s="364"/>
      <c r="L279" s="364"/>
      <c r="M279" s="364"/>
      <c r="N279" s="364"/>
      <c r="O279" s="364"/>
      <c r="P279" s="364"/>
      <c r="Q279" s="364"/>
      <c r="R279" s="364"/>
      <c r="S279" s="364"/>
      <c r="T279" s="364"/>
      <c r="U279" s="364"/>
      <c r="V279" s="364"/>
      <c r="W279" s="364"/>
      <c r="X279" s="364"/>
      <c r="Y279" s="364"/>
      <c r="Z279" s="364"/>
      <c r="AA279" s="364"/>
      <c r="AB279" s="364"/>
      <c r="AC279" s="364"/>
      <c r="AD279" s="364"/>
    </row>
    <row r="280" spans="1:30" s="351" customFormat="1">
      <c r="A280" s="363"/>
      <c r="B280" s="363"/>
      <c r="C280" s="364"/>
      <c r="D280" s="364"/>
      <c r="E280" s="364"/>
      <c r="F280" s="364"/>
      <c r="G280" s="364"/>
      <c r="H280" s="364"/>
      <c r="I280" s="364"/>
      <c r="J280" s="364"/>
      <c r="K280" s="364"/>
      <c r="L280" s="364"/>
      <c r="M280" s="364"/>
      <c r="N280" s="364"/>
      <c r="O280" s="364"/>
      <c r="P280" s="364"/>
      <c r="Q280" s="364"/>
      <c r="R280" s="364"/>
      <c r="S280" s="364"/>
      <c r="T280" s="364"/>
      <c r="U280" s="364"/>
      <c r="V280" s="364"/>
      <c r="W280" s="364"/>
      <c r="X280" s="364"/>
      <c r="Y280" s="364"/>
      <c r="Z280" s="364"/>
      <c r="AA280" s="364"/>
      <c r="AB280" s="364"/>
      <c r="AC280" s="364"/>
      <c r="AD280" s="364"/>
    </row>
    <row r="281" spans="1:30" s="351" customFormat="1">
      <c r="A281" s="363"/>
      <c r="B281" s="363"/>
      <c r="C281" s="364"/>
      <c r="D281" s="364"/>
      <c r="E281" s="364"/>
      <c r="F281" s="364"/>
      <c r="G281" s="364"/>
      <c r="H281" s="364"/>
      <c r="I281" s="364"/>
      <c r="J281" s="364"/>
      <c r="K281" s="364"/>
      <c r="L281" s="364"/>
      <c r="M281" s="364"/>
      <c r="N281" s="364"/>
      <c r="O281" s="364"/>
      <c r="P281" s="364"/>
      <c r="Q281" s="364"/>
      <c r="R281" s="364"/>
      <c r="S281" s="364"/>
      <c r="T281" s="364"/>
      <c r="U281" s="364"/>
      <c r="V281" s="364"/>
      <c r="W281" s="364"/>
      <c r="X281" s="364"/>
      <c r="Y281" s="364"/>
      <c r="Z281" s="364"/>
      <c r="AA281" s="364"/>
      <c r="AB281" s="364"/>
      <c r="AC281" s="364"/>
      <c r="AD281" s="364"/>
    </row>
    <row r="282" spans="1:30" s="351" customFormat="1">
      <c r="A282" s="363"/>
      <c r="B282" s="363"/>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row>
    <row r="283" spans="1:30" s="351" customFormat="1">
      <c r="A283" s="363"/>
      <c r="B283" s="363"/>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4"/>
      <c r="AC283" s="364"/>
      <c r="AD283" s="364"/>
    </row>
    <row r="284" spans="1:30" s="351" customFormat="1">
      <c r="A284" s="363"/>
      <c r="B284" s="363"/>
      <c r="C284" s="364"/>
      <c r="D284" s="364"/>
      <c r="E284" s="364"/>
      <c r="F284" s="364"/>
      <c r="G284" s="364"/>
      <c r="H284" s="364"/>
      <c r="I284" s="364"/>
      <c r="J284" s="364"/>
      <c r="K284" s="364"/>
      <c r="L284" s="364"/>
      <c r="M284" s="364"/>
      <c r="N284" s="364"/>
      <c r="O284" s="364"/>
      <c r="P284" s="364"/>
      <c r="Q284" s="364"/>
      <c r="R284" s="364"/>
      <c r="S284" s="364"/>
      <c r="T284" s="364"/>
      <c r="U284" s="364"/>
      <c r="V284" s="364"/>
      <c r="W284" s="364"/>
      <c r="X284" s="364"/>
      <c r="Y284" s="364"/>
      <c r="Z284" s="364"/>
      <c r="AA284" s="364"/>
      <c r="AB284" s="364"/>
      <c r="AC284" s="364"/>
      <c r="AD284" s="364"/>
    </row>
    <row r="285" spans="1:30" s="351" customFormat="1">
      <c r="A285" s="363"/>
      <c r="B285" s="363"/>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row>
    <row r="286" spans="1:30" s="351" customFormat="1">
      <c r="A286" s="363"/>
      <c r="B286" s="363"/>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row>
    <row r="287" spans="1:30" s="351" customFormat="1">
      <c r="A287" s="363"/>
      <c r="B287" s="363"/>
      <c r="C287" s="364"/>
      <c r="D287" s="364"/>
      <c r="E287" s="364"/>
      <c r="F287" s="364"/>
      <c r="G287" s="364"/>
      <c r="H287" s="364"/>
      <c r="I287" s="364"/>
      <c r="J287" s="364"/>
      <c r="K287" s="364"/>
      <c r="L287" s="364"/>
      <c r="M287" s="364"/>
      <c r="N287" s="364"/>
      <c r="O287" s="364"/>
      <c r="P287" s="364"/>
      <c r="Q287" s="364"/>
      <c r="R287" s="364"/>
      <c r="S287" s="364"/>
      <c r="T287" s="364"/>
      <c r="U287" s="364"/>
      <c r="V287" s="364"/>
      <c r="W287" s="364"/>
      <c r="X287" s="364"/>
      <c r="Y287" s="364"/>
      <c r="Z287" s="364"/>
      <c r="AA287" s="364"/>
      <c r="AB287" s="364"/>
      <c r="AC287" s="364"/>
      <c r="AD287" s="364"/>
    </row>
    <row r="288" spans="1:30" s="351" customFormat="1">
      <c r="A288" s="363"/>
      <c r="B288" s="363"/>
      <c r="C288" s="364"/>
      <c r="D288" s="364"/>
      <c r="E288" s="364"/>
      <c r="F288" s="364"/>
      <c r="G288" s="364"/>
      <c r="H288" s="364"/>
      <c r="I288" s="364"/>
      <c r="J288" s="364"/>
      <c r="K288" s="364"/>
      <c r="L288" s="364"/>
      <c r="M288" s="364"/>
      <c r="N288" s="364"/>
      <c r="O288" s="364"/>
      <c r="P288" s="364"/>
      <c r="Q288" s="364"/>
      <c r="R288" s="364"/>
      <c r="S288" s="364"/>
      <c r="T288" s="364"/>
      <c r="U288" s="364"/>
      <c r="V288" s="364"/>
      <c r="W288" s="364"/>
      <c r="X288" s="364"/>
      <c r="Y288" s="364"/>
      <c r="Z288" s="364"/>
      <c r="AA288" s="364"/>
      <c r="AB288" s="364"/>
      <c r="AC288" s="364"/>
      <c r="AD288" s="364"/>
    </row>
    <row r="289" spans="1:30" s="351" customFormat="1">
      <c r="A289" s="363"/>
      <c r="B289" s="363"/>
      <c r="C289" s="364"/>
      <c r="D289" s="364"/>
      <c r="E289" s="364"/>
      <c r="F289" s="364"/>
      <c r="G289" s="364"/>
      <c r="H289" s="364"/>
      <c r="I289" s="364"/>
      <c r="J289" s="364"/>
      <c r="K289" s="364"/>
      <c r="L289" s="364"/>
      <c r="M289" s="364"/>
      <c r="N289" s="364"/>
      <c r="O289" s="364"/>
      <c r="P289" s="364"/>
      <c r="Q289" s="364"/>
      <c r="R289" s="364"/>
      <c r="S289" s="364"/>
      <c r="T289" s="364"/>
      <c r="U289" s="364"/>
      <c r="V289" s="364"/>
      <c r="W289" s="364"/>
      <c r="X289" s="364"/>
      <c r="Y289" s="364"/>
      <c r="Z289" s="364"/>
      <c r="AA289" s="364"/>
      <c r="AB289" s="364"/>
      <c r="AC289" s="364"/>
      <c r="AD289" s="364"/>
    </row>
    <row r="290" spans="1:30" s="351" customFormat="1">
      <c r="A290" s="363"/>
      <c r="B290" s="363"/>
      <c r="C290" s="364"/>
      <c r="D290" s="364"/>
      <c r="E290" s="364"/>
      <c r="F290" s="364"/>
      <c r="G290" s="364"/>
      <c r="H290" s="364"/>
      <c r="I290" s="364"/>
      <c r="J290" s="364"/>
      <c r="K290" s="364"/>
      <c r="L290" s="364"/>
      <c r="M290" s="364"/>
      <c r="N290" s="364"/>
      <c r="O290" s="364"/>
      <c r="P290" s="364"/>
      <c r="Q290" s="364"/>
      <c r="R290" s="364"/>
      <c r="S290" s="364"/>
      <c r="T290" s="364"/>
      <c r="U290" s="364"/>
      <c r="V290" s="364"/>
      <c r="W290" s="364"/>
      <c r="X290" s="364"/>
      <c r="Y290" s="364"/>
      <c r="Z290" s="364"/>
      <c r="AA290" s="364"/>
      <c r="AB290" s="364"/>
      <c r="AC290" s="364"/>
      <c r="AD290" s="364"/>
    </row>
    <row r="291" spans="1:30" s="351" customFormat="1">
      <c r="A291" s="363"/>
      <c r="B291" s="363"/>
      <c r="C291" s="364"/>
      <c r="D291" s="364"/>
      <c r="E291" s="364"/>
      <c r="F291" s="364"/>
      <c r="G291" s="364"/>
      <c r="H291" s="364"/>
      <c r="I291" s="364"/>
      <c r="J291" s="364"/>
      <c r="K291" s="364"/>
      <c r="L291" s="364"/>
      <c r="M291" s="364"/>
      <c r="N291" s="364"/>
      <c r="O291" s="364"/>
      <c r="P291" s="364"/>
      <c r="Q291" s="364"/>
      <c r="R291" s="364"/>
      <c r="S291" s="364"/>
      <c r="T291" s="364"/>
      <c r="U291" s="364"/>
      <c r="V291" s="364"/>
      <c r="W291" s="364"/>
      <c r="X291" s="364"/>
      <c r="Y291" s="364"/>
      <c r="Z291" s="364"/>
      <c r="AA291" s="364"/>
      <c r="AB291" s="364"/>
      <c r="AC291" s="364"/>
      <c r="AD291" s="364"/>
    </row>
    <row r="292" spans="1:30" s="351" customFormat="1">
      <c r="A292" s="363"/>
      <c r="B292" s="363"/>
      <c r="C292" s="364"/>
      <c r="D292" s="364"/>
      <c r="E292" s="364"/>
      <c r="F292" s="364"/>
      <c r="G292" s="364"/>
      <c r="H292" s="364"/>
      <c r="I292" s="364"/>
      <c r="J292" s="364"/>
      <c r="K292" s="364"/>
      <c r="L292" s="364"/>
      <c r="M292" s="364"/>
      <c r="N292" s="364"/>
      <c r="O292" s="364"/>
      <c r="P292" s="364"/>
      <c r="Q292" s="364"/>
      <c r="R292" s="364"/>
      <c r="S292" s="364"/>
      <c r="T292" s="364"/>
      <c r="U292" s="364"/>
      <c r="V292" s="364"/>
      <c r="W292" s="364"/>
      <c r="X292" s="364"/>
      <c r="Y292" s="364"/>
      <c r="Z292" s="364"/>
      <c r="AA292" s="364"/>
      <c r="AB292" s="364"/>
      <c r="AC292" s="364"/>
      <c r="AD292" s="364"/>
    </row>
    <row r="293" spans="1:30" s="351" customFormat="1">
      <c r="A293" s="363"/>
      <c r="B293" s="363"/>
      <c r="C293" s="364"/>
      <c r="D293" s="364"/>
      <c r="E293" s="364"/>
      <c r="F293" s="364"/>
      <c r="G293" s="364"/>
      <c r="H293" s="364"/>
      <c r="I293" s="364"/>
      <c r="J293" s="364"/>
      <c r="K293" s="364"/>
      <c r="L293" s="364"/>
      <c r="M293" s="364"/>
      <c r="N293" s="364"/>
      <c r="O293" s="364"/>
      <c r="P293" s="364"/>
      <c r="Q293" s="364"/>
      <c r="R293" s="364"/>
      <c r="S293" s="364"/>
      <c r="T293" s="364"/>
      <c r="U293" s="364"/>
      <c r="V293" s="364"/>
      <c r="W293" s="364"/>
      <c r="X293" s="364"/>
      <c r="Y293" s="364"/>
      <c r="Z293" s="364"/>
      <c r="AA293" s="364"/>
      <c r="AB293" s="364"/>
      <c r="AC293" s="364"/>
      <c r="AD293" s="364"/>
    </row>
    <row r="294" spans="1:30" s="351" customFormat="1">
      <c r="A294" s="363"/>
      <c r="B294" s="363"/>
      <c r="C294" s="364"/>
      <c r="D294" s="364"/>
      <c r="E294" s="364"/>
      <c r="F294" s="364"/>
      <c r="G294" s="364"/>
      <c r="H294" s="364"/>
      <c r="I294" s="364"/>
      <c r="J294" s="364"/>
      <c r="K294" s="364"/>
      <c r="L294" s="364"/>
      <c r="M294" s="364"/>
      <c r="N294" s="364"/>
      <c r="O294" s="364"/>
      <c r="P294" s="364"/>
      <c r="Q294" s="364"/>
      <c r="R294" s="364"/>
      <c r="S294" s="364"/>
      <c r="T294" s="364"/>
      <c r="U294" s="364"/>
      <c r="V294" s="364"/>
      <c r="W294" s="364"/>
      <c r="X294" s="364"/>
      <c r="Y294" s="364"/>
      <c r="Z294" s="364"/>
      <c r="AA294" s="364"/>
      <c r="AB294" s="364"/>
      <c r="AC294" s="364"/>
      <c r="AD294" s="364"/>
    </row>
    <row r="295" spans="1:30" s="351" customFormat="1">
      <c r="A295" s="363"/>
      <c r="B295" s="363"/>
      <c r="C295" s="364"/>
      <c r="D295" s="364"/>
      <c r="E295" s="364"/>
      <c r="F295" s="364"/>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row>
    <row r="296" spans="1:30" s="351" customFormat="1">
      <c r="A296" s="363"/>
      <c r="B296" s="363"/>
      <c r="C296" s="364"/>
      <c r="D296" s="364"/>
      <c r="E296" s="364"/>
      <c r="F296" s="364"/>
      <c r="G296" s="364"/>
      <c r="H296" s="364"/>
      <c r="I296" s="364"/>
      <c r="J296" s="364"/>
      <c r="K296" s="364"/>
      <c r="L296" s="364"/>
      <c r="M296" s="364"/>
      <c r="N296" s="364"/>
      <c r="O296" s="364"/>
      <c r="P296" s="364"/>
      <c r="Q296" s="364"/>
      <c r="R296" s="364"/>
      <c r="S296" s="364"/>
      <c r="T296" s="364"/>
      <c r="U296" s="364"/>
      <c r="V296" s="364"/>
      <c r="W296" s="364"/>
      <c r="X296" s="364"/>
      <c r="Y296" s="364"/>
      <c r="Z296" s="364"/>
      <c r="AA296" s="364"/>
      <c r="AB296" s="364"/>
      <c r="AC296" s="364"/>
      <c r="AD296" s="364"/>
    </row>
    <row r="297" spans="1:30" s="351" customFormat="1">
      <c r="A297" s="363"/>
      <c r="B297" s="363"/>
      <c r="C297" s="364"/>
      <c r="D297" s="364"/>
      <c r="E297" s="364"/>
      <c r="F297" s="364"/>
      <c r="G297" s="364"/>
      <c r="H297" s="364"/>
      <c r="I297" s="364"/>
      <c r="J297" s="364"/>
      <c r="K297" s="364"/>
      <c r="L297" s="364"/>
      <c r="M297" s="364"/>
      <c r="N297" s="364"/>
      <c r="O297" s="364"/>
      <c r="P297" s="364"/>
      <c r="Q297" s="364"/>
      <c r="R297" s="364"/>
      <c r="S297" s="364"/>
      <c r="T297" s="364"/>
      <c r="U297" s="364"/>
      <c r="V297" s="364"/>
      <c r="W297" s="364"/>
      <c r="X297" s="364"/>
      <c r="Y297" s="364"/>
      <c r="Z297" s="364"/>
      <c r="AA297" s="364"/>
      <c r="AB297" s="364"/>
      <c r="AC297" s="364"/>
      <c r="AD297" s="364"/>
    </row>
    <row r="298" spans="1:30" s="351" customFormat="1">
      <c r="A298" s="363"/>
      <c r="B298" s="363"/>
      <c r="C298" s="364"/>
      <c r="D298" s="364"/>
      <c r="E298" s="364"/>
      <c r="F298" s="364"/>
      <c r="G298" s="364"/>
      <c r="H298" s="364"/>
      <c r="I298" s="364"/>
      <c r="J298" s="364"/>
      <c r="K298" s="364"/>
      <c r="L298" s="364"/>
      <c r="M298" s="364"/>
      <c r="N298" s="364"/>
      <c r="O298" s="364"/>
      <c r="P298" s="364"/>
      <c r="Q298" s="364"/>
      <c r="R298" s="364"/>
      <c r="S298" s="364"/>
      <c r="T298" s="364"/>
      <c r="U298" s="364"/>
      <c r="V298" s="364"/>
      <c r="W298" s="364"/>
      <c r="X298" s="364"/>
      <c r="Y298" s="364"/>
      <c r="Z298" s="364"/>
      <c r="AA298" s="364"/>
      <c r="AB298" s="364"/>
      <c r="AC298" s="364"/>
      <c r="AD298" s="364"/>
    </row>
    <row r="299" spans="1:30" s="351" customFormat="1">
      <c r="A299" s="363"/>
      <c r="B299" s="363"/>
      <c r="C299" s="364"/>
      <c r="D299" s="364"/>
      <c r="E299" s="364"/>
      <c r="F299" s="364"/>
      <c r="G299" s="364"/>
      <c r="H299" s="364"/>
      <c r="I299" s="364"/>
      <c r="J299" s="364"/>
      <c r="K299" s="364"/>
      <c r="L299" s="364"/>
      <c r="M299" s="364"/>
      <c r="N299" s="364"/>
      <c r="O299" s="364"/>
      <c r="P299" s="364"/>
      <c r="Q299" s="364"/>
      <c r="R299" s="364"/>
      <c r="S299" s="364"/>
      <c r="T299" s="364"/>
      <c r="U299" s="364"/>
      <c r="V299" s="364"/>
      <c r="W299" s="364"/>
      <c r="X299" s="364"/>
      <c r="Y299" s="364"/>
      <c r="Z299" s="364"/>
      <c r="AA299" s="364"/>
      <c r="AB299" s="364"/>
      <c r="AC299" s="364"/>
      <c r="AD299" s="364"/>
    </row>
    <row r="300" spans="1:30" s="351" customFormat="1">
      <c r="A300" s="363"/>
      <c r="B300" s="363"/>
      <c r="C300" s="364"/>
      <c r="D300" s="364"/>
      <c r="E300" s="364"/>
      <c r="F300" s="364"/>
      <c r="G300" s="364"/>
      <c r="H300" s="364"/>
      <c r="I300" s="364"/>
      <c r="J300" s="364"/>
      <c r="K300" s="364"/>
      <c r="L300" s="364"/>
      <c r="M300" s="364"/>
      <c r="N300" s="364"/>
      <c r="O300" s="364"/>
      <c r="P300" s="364"/>
      <c r="Q300" s="364"/>
      <c r="R300" s="364"/>
      <c r="S300" s="364"/>
      <c r="T300" s="364"/>
      <c r="U300" s="364"/>
      <c r="V300" s="364"/>
      <c r="W300" s="364"/>
      <c r="X300" s="364"/>
      <c r="Y300" s="364"/>
      <c r="Z300" s="364"/>
      <c r="AA300" s="364"/>
      <c r="AB300" s="364"/>
      <c r="AC300" s="364"/>
      <c r="AD300" s="364"/>
    </row>
    <row r="301" spans="1:30" s="351" customFormat="1">
      <c r="A301" s="363"/>
      <c r="B301" s="363"/>
      <c r="C301" s="364"/>
      <c r="D301" s="364"/>
      <c r="E301" s="364"/>
      <c r="F301" s="364"/>
      <c r="G301" s="364"/>
      <c r="H301" s="364"/>
      <c r="I301" s="364"/>
      <c r="J301" s="364"/>
      <c r="K301" s="364"/>
      <c r="L301" s="364"/>
      <c r="M301" s="364"/>
      <c r="N301" s="364"/>
      <c r="O301" s="364"/>
      <c r="P301" s="364"/>
      <c r="Q301" s="364"/>
      <c r="R301" s="364"/>
      <c r="S301" s="364"/>
      <c r="T301" s="364"/>
      <c r="U301" s="364"/>
      <c r="V301" s="364"/>
      <c r="W301" s="364"/>
      <c r="X301" s="364"/>
      <c r="Y301" s="364"/>
      <c r="Z301" s="364"/>
      <c r="AA301" s="364"/>
      <c r="AB301" s="364"/>
      <c r="AC301" s="364"/>
      <c r="AD301" s="364"/>
    </row>
    <row r="302" spans="1:30" s="351" customFormat="1">
      <c r="A302" s="363"/>
      <c r="B302" s="363"/>
      <c r="C302" s="364"/>
      <c r="D302" s="364"/>
      <c r="E302" s="364"/>
      <c r="F302" s="364"/>
      <c r="G302" s="364"/>
      <c r="H302" s="364"/>
      <c r="I302" s="364"/>
      <c r="J302" s="364"/>
      <c r="K302" s="364"/>
      <c r="L302" s="364"/>
      <c r="M302" s="364"/>
      <c r="N302" s="364"/>
      <c r="O302" s="364"/>
      <c r="P302" s="364"/>
      <c r="Q302" s="364"/>
      <c r="R302" s="364"/>
      <c r="S302" s="364"/>
      <c r="T302" s="364"/>
      <c r="U302" s="364"/>
      <c r="V302" s="364"/>
      <c r="W302" s="364"/>
      <c r="X302" s="364"/>
      <c r="Y302" s="364"/>
      <c r="Z302" s="364"/>
      <c r="AA302" s="364"/>
      <c r="AB302" s="364"/>
      <c r="AC302" s="364"/>
      <c r="AD302" s="364"/>
    </row>
    <row r="303" spans="1:30" s="351" customFormat="1">
      <c r="A303" s="363"/>
      <c r="B303" s="363"/>
      <c r="C303" s="364"/>
      <c r="D303" s="364"/>
      <c r="E303" s="364"/>
      <c r="F303" s="364"/>
      <c r="G303" s="364"/>
      <c r="H303" s="364"/>
      <c r="I303" s="364"/>
      <c r="J303" s="364"/>
      <c r="K303" s="364"/>
      <c r="L303" s="364"/>
      <c r="M303" s="364"/>
      <c r="N303" s="364"/>
      <c r="O303" s="364"/>
      <c r="P303" s="364"/>
      <c r="Q303" s="364"/>
      <c r="R303" s="364"/>
      <c r="S303" s="364"/>
      <c r="T303" s="364"/>
      <c r="U303" s="364"/>
      <c r="V303" s="364"/>
      <c r="W303" s="364"/>
      <c r="X303" s="364"/>
      <c r="Y303" s="364"/>
      <c r="Z303" s="364"/>
      <c r="AA303" s="364"/>
      <c r="AB303" s="364"/>
      <c r="AC303" s="364"/>
      <c r="AD303" s="364"/>
    </row>
    <row r="304" spans="1:30" s="351" customFormat="1">
      <c r="A304" s="363"/>
      <c r="B304" s="363"/>
      <c r="C304" s="364"/>
      <c r="D304" s="364"/>
      <c r="E304" s="364"/>
      <c r="F304" s="364"/>
      <c r="G304" s="364"/>
      <c r="H304" s="364"/>
      <c r="I304" s="364"/>
      <c r="J304" s="364"/>
      <c r="K304" s="364"/>
      <c r="L304" s="364"/>
      <c r="M304" s="364"/>
      <c r="N304" s="364"/>
      <c r="O304" s="364"/>
      <c r="P304" s="364"/>
      <c r="Q304" s="364"/>
      <c r="R304" s="364"/>
      <c r="S304" s="364"/>
      <c r="T304" s="364"/>
      <c r="U304" s="364"/>
      <c r="V304" s="364"/>
      <c r="W304" s="364"/>
      <c r="X304" s="364"/>
      <c r="Y304" s="364"/>
      <c r="Z304" s="364"/>
      <c r="AA304" s="364"/>
      <c r="AB304" s="364"/>
      <c r="AC304" s="364"/>
      <c r="AD304" s="364"/>
    </row>
    <row r="305" spans="1:30" s="351" customFormat="1">
      <c r="A305" s="363"/>
      <c r="B305" s="363"/>
      <c r="C305" s="364"/>
      <c r="D305" s="364"/>
      <c r="E305" s="364"/>
      <c r="F305" s="364"/>
      <c r="G305" s="364"/>
      <c r="H305" s="364"/>
      <c r="I305" s="364"/>
      <c r="J305" s="364"/>
      <c r="K305" s="364"/>
      <c r="L305" s="364"/>
      <c r="M305" s="364"/>
      <c r="N305" s="364"/>
      <c r="O305" s="364"/>
      <c r="P305" s="364"/>
      <c r="Q305" s="364"/>
      <c r="R305" s="364"/>
      <c r="S305" s="364"/>
      <c r="T305" s="364"/>
      <c r="U305" s="364"/>
      <c r="V305" s="364"/>
      <c r="W305" s="364"/>
      <c r="X305" s="364"/>
      <c r="Y305" s="364"/>
      <c r="Z305" s="364"/>
      <c r="AA305" s="364"/>
      <c r="AB305" s="364"/>
      <c r="AC305" s="364"/>
      <c r="AD305" s="364"/>
    </row>
    <row r="306" spans="1:30" s="351" customFormat="1">
      <c r="A306" s="363"/>
      <c r="B306" s="363"/>
      <c r="C306" s="364"/>
      <c r="D306" s="364"/>
      <c r="E306" s="364"/>
      <c r="F306" s="364"/>
      <c r="G306" s="364"/>
      <c r="H306" s="364"/>
      <c r="I306" s="364"/>
      <c r="J306" s="364"/>
      <c r="K306" s="364"/>
      <c r="L306" s="364"/>
      <c r="M306" s="364"/>
      <c r="N306" s="364"/>
      <c r="O306" s="364"/>
      <c r="P306" s="364"/>
      <c r="Q306" s="364"/>
      <c r="R306" s="364"/>
      <c r="S306" s="364"/>
      <c r="T306" s="364"/>
      <c r="U306" s="364"/>
      <c r="V306" s="364"/>
      <c r="W306" s="364"/>
      <c r="X306" s="364"/>
      <c r="Y306" s="364"/>
      <c r="Z306" s="364"/>
      <c r="AA306" s="364"/>
      <c r="AB306" s="364"/>
      <c r="AC306" s="364"/>
      <c r="AD306" s="364"/>
    </row>
    <row r="307" spans="1:30" s="351" customFormat="1">
      <c r="A307" s="363"/>
      <c r="B307" s="363"/>
      <c r="C307" s="364"/>
      <c r="D307" s="364"/>
      <c r="E307" s="364"/>
      <c r="F307" s="364"/>
      <c r="G307" s="364"/>
      <c r="H307" s="364"/>
      <c r="I307" s="364"/>
      <c r="J307" s="364"/>
      <c r="K307" s="364"/>
      <c r="L307" s="364"/>
      <c r="M307" s="364"/>
      <c r="N307" s="364"/>
      <c r="O307" s="364"/>
      <c r="P307" s="364"/>
      <c r="Q307" s="364"/>
      <c r="R307" s="364"/>
      <c r="S307" s="364"/>
      <c r="T307" s="364"/>
      <c r="U307" s="364"/>
      <c r="V307" s="364"/>
      <c r="W307" s="364"/>
      <c r="X307" s="364"/>
      <c r="Y307" s="364"/>
      <c r="Z307" s="364"/>
      <c r="AA307" s="364"/>
      <c r="AB307" s="364"/>
      <c r="AC307" s="364"/>
      <c r="AD307" s="364"/>
    </row>
    <row r="308" spans="1:30" s="351" customFormat="1">
      <c r="A308" s="363"/>
      <c r="B308" s="363"/>
      <c r="C308" s="364"/>
      <c r="D308" s="364"/>
      <c r="E308" s="364"/>
      <c r="F308" s="364"/>
      <c r="G308" s="364"/>
      <c r="H308" s="364"/>
      <c r="I308" s="364"/>
      <c r="J308" s="364"/>
      <c r="K308" s="364"/>
      <c r="L308" s="364"/>
      <c r="M308" s="364"/>
      <c r="N308" s="364"/>
      <c r="O308" s="364"/>
      <c r="P308" s="364"/>
      <c r="Q308" s="364"/>
      <c r="R308" s="364"/>
      <c r="S308" s="364"/>
      <c r="T308" s="364"/>
      <c r="U308" s="364"/>
      <c r="V308" s="364"/>
      <c r="W308" s="364"/>
      <c r="X308" s="364"/>
      <c r="Y308" s="364"/>
      <c r="Z308" s="364"/>
      <c r="AA308" s="364"/>
      <c r="AB308" s="364"/>
      <c r="AC308" s="364"/>
      <c r="AD308" s="364"/>
    </row>
    <row r="309" spans="1:30" s="351" customFormat="1">
      <c r="A309" s="363"/>
      <c r="B309" s="363"/>
      <c r="C309" s="364"/>
      <c r="D309" s="364"/>
      <c r="E309" s="364"/>
      <c r="F309" s="364"/>
      <c r="G309" s="364"/>
      <c r="H309" s="364"/>
      <c r="I309" s="364"/>
      <c r="J309" s="364"/>
      <c r="K309" s="364"/>
      <c r="L309" s="364"/>
      <c r="M309" s="364"/>
      <c r="N309" s="364"/>
      <c r="O309" s="364"/>
      <c r="P309" s="364"/>
      <c r="Q309" s="364"/>
      <c r="R309" s="364"/>
      <c r="S309" s="364"/>
      <c r="T309" s="364"/>
      <c r="U309" s="364"/>
      <c r="V309" s="364"/>
      <c r="W309" s="364"/>
      <c r="X309" s="364"/>
      <c r="Y309" s="364"/>
      <c r="Z309" s="364"/>
      <c r="AA309" s="364"/>
      <c r="AB309" s="364"/>
      <c r="AC309" s="364"/>
      <c r="AD309" s="364"/>
    </row>
    <row r="310" spans="1:30" s="351" customFormat="1">
      <c r="A310" s="363"/>
      <c r="B310" s="363"/>
      <c r="C310" s="364"/>
      <c r="D310" s="364"/>
      <c r="E310" s="364"/>
      <c r="F310" s="364"/>
      <c r="G310" s="364"/>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row>
    <row r="311" spans="1:30" s="351" customFormat="1">
      <c r="A311" s="363"/>
      <c r="B311" s="363"/>
      <c r="C311" s="364"/>
      <c r="D311" s="364"/>
      <c r="E311" s="364"/>
      <c r="F311" s="364"/>
      <c r="G311" s="364"/>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row>
    <row r="312" spans="1:30" s="351" customFormat="1">
      <c r="A312" s="363"/>
      <c r="B312" s="363"/>
      <c r="C312" s="364"/>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row>
    <row r="313" spans="1:30" s="351" customFormat="1">
      <c r="A313" s="363"/>
      <c r="B313" s="363"/>
      <c r="C313" s="364"/>
      <c r="D313" s="364"/>
      <c r="E313" s="364"/>
      <c r="F313" s="364"/>
      <c r="G313" s="364"/>
      <c r="H313" s="364"/>
      <c r="I313" s="364"/>
      <c r="J313" s="364"/>
      <c r="K313" s="364"/>
      <c r="L313" s="364"/>
      <c r="M313" s="364"/>
      <c r="N313" s="364"/>
      <c r="O313" s="364"/>
      <c r="P313" s="364"/>
      <c r="Q313" s="364"/>
      <c r="R313" s="364"/>
      <c r="S313" s="364"/>
      <c r="T313" s="364"/>
      <c r="U313" s="364"/>
      <c r="V313" s="364"/>
      <c r="W313" s="364"/>
      <c r="X313" s="364"/>
      <c r="Y313" s="364"/>
      <c r="Z313" s="364"/>
      <c r="AA313" s="364"/>
      <c r="AB313" s="364"/>
      <c r="AC313" s="364"/>
      <c r="AD313" s="364"/>
    </row>
    <row r="314" spans="1:30" s="351" customFormat="1">
      <c r="A314" s="363"/>
      <c r="B314" s="363"/>
      <c r="C314" s="364"/>
      <c r="D314" s="364"/>
      <c r="E314" s="364"/>
      <c r="F314" s="364"/>
      <c r="G314" s="364"/>
      <c r="H314" s="364"/>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row>
    <row r="315" spans="1:30" s="351" customFormat="1">
      <c r="A315" s="363"/>
      <c r="B315" s="363"/>
      <c r="C315" s="364"/>
      <c r="D315" s="364"/>
      <c r="E315" s="364"/>
      <c r="F315" s="364"/>
      <c r="G315" s="364"/>
      <c r="H315" s="364"/>
      <c r="I315" s="364"/>
      <c r="J315" s="364"/>
      <c r="K315" s="364"/>
      <c r="L315" s="364"/>
      <c r="M315" s="364"/>
      <c r="N315" s="364"/>
      <c r="O315" s="364"/>
      <c r="P315" s="364"/>
      <c r="Q315" s="364"/>
      <c r="R315" s="364"/>
      <c r="S315" s="364"/>
      <c r="T315" s="364"/>
      <c r="U315" s="364"/>
      <c r="V315" s="364"/>
      <c r="W315" s="364"/>
      <c r="X315" s="364"/>
      <c r="Y315" s="364"/>
      <c r="Z315" s="364"/>
      <c r="AA315" s="364"/>
      <c r="AB315" s="364"/>
      <c r="AC315" s="364"/>
      <c r="AD315" s="364"/>
    </row>
    <row r="316" spans="1:30" s="351" customFormat="1">
      <c r="A316" s="363"/>
      <c r="B316" s="363"/>
      <c r="C316" s="364"/>
      <c r="D316" s="364"/>
      <c r="E316" s="364"/>
      <c r="F316" s="364"/>
      <c r="G316" s="364"/>
      <c r="H316" s="364"/>
      <c r="I316" s="364"/>
      <c r="J316" s="364"/>
      <c r="K316" s="364"/>
      <c r="L316" s="364"/>
      <c r="M316" s="364"/>
      <c r="N316" s="364"/>
      <c r="O316" s="364"/>
      <c r="P316" s="364"/>
      <c r="Q316" s="364"/>
      <c r="R316" s="364"/>
      <c r="S316" s="364"/>
      <c r="T316" s="364"/>
      <c r="U316" s="364"/>
      <c r="V316" s="364"/>
      <c r="W316" s="364"/>
      <c r="X316" s="364"/>
      <c r="Y316" s="364"/>
      <c r="Z316" s="364"/>
      <c r="AA316" s="364"/>
      <c r="AB316" s="364"/>
      <c r="AC316" s="364"/>
      <c r="AD316" s="364"/>
    </row>
    <row r="317" spans="1:30" s="351" customFormat="1">
      <c r="A317" s="363"/>
      <c r="B317" s="363"/>
      <c r="C317" s="364"/>
      <c r="D317" s="364"/>
      <c r="E317" s="364"/>
      <c r="F317" s="364"/>
      <c r="G317" s="364"/>
      <c r="H317" s="364"/>
      <c r="I317" s="364"/>
      <c r="J317" s="364"/>
      <c r="K317" s="364"/>
      <c r="L317" s="364"/>
      <c r="M317" s="364"/>
      <c r="N317" s="364"/>
      <c r="O317" s="364"/>
      <c r="P317" s="364"/>
      <c r="Q317" s="364"/>
      <c r="R317" s="364"/>
      <c r="S317" s="364"/>
      <c r="T317" s="364"/>
      <c r="U317" s="364"/>
      <c r="V317" s="364"/>
      <c r="W317" s="364"/>
      <c r="X317" s="364"/>
      <c r="Y317" s="364"/>
      <c r="Z317" s="364"/>
      <c r="AA317" s="364"/>
      <c r="AB317" s="364"/>
      <c r="AC317" s="364"/>
      <c r="AD317" s="364"/>
    </row>
    <row r="318" spans="1:30" s="351" customFormat="1">
      <c r="A318" s="363"/>
      <c r="B318" s="363"/>
      <c r="C318" s="364"/>
      <c r="D318" s="364"/>
      <c r="E318" s="364"/>
      <c r="F318" s="364"/>
      <c r="G318" s="364"/>
      <c r="H318" s="364"/>
      <c r="I318" s="364"/>
      <c r="J318" s="364"/>
      <c r="K318" s="364"/>
      <c r="L318" s="364"/>
      <c r="M318" s="364"/>
      <c r="N318" s="364"/>
      <c r="O318" s="364"/>
      <c r="P318" s="364"/>
      <c r="Q318" s="364"/>
      <c r="R318" s="364"/>
      <c r="S318" s="364"/>
      <c r="T318" s="364"/>
      <c r="U318" s="364"/>
      <c r="V318" s="364"/>
      <c r="W318" s="364"/>
      <c r="X318" s="364"/>
      <c r="Y318" s="364"/>
      <c r="Z318" s="364"/>
      <c r="AA318" s="364"/>
      <c r="AB318" s="364"/>
      <c r="AC318" s="364"/>
      <c r="AD318" s="364"/>
    </row>
    <row r="319" spans="1:30" s="351" customFormat="1">
      <c r="A319" s="363"/>
      <c r="B319" s="363"/>
      <c r="C319" s="364"/>
      <c r="D319" s="364"/>
      <c r="E319" s="364"/>
      <c r="F319" s="364"/>
      <c r="G319" s="364"/>
      <c r="H319" s="364"/>
      <c r="I319" s="364"/>
      <c r="J319" s="364"/>
      <c r="K319" s="364"/>
      <c r="L319" s="364"/>
      <c r="M319" s="364"/>
      <c r="N319" s="364"/>
      <c r="O319" s="364"/>
      <c r="P319" s="364"/>
      <c r="Q319" s="364"/>
      <c r="R319" s="364"/>
      <c r="S319" s="364"/>
      <c r="T319" s="364"/>
      <c r="U319" s="364"/>
      <c r="V319" s="364"/>
      <c r="W319" s="364"/>
      <c r="X319" s="364"/>
      <c r="Y319" s="364"/>
      <c r="Z319" s="364"/>
      <c r="AA319" s="364"/>
      <c r="AB319" s="364"/>
      <c r="AC319" s="364"/>
      <c r="AD319" s="364"/>
    </row>
    <row r="320" spans="1:30" s="351" customFormat="1">
      <c r="A320" s="363"/>
      <c r="B320" s="363"/>
      <c r="C320" s="364"/>
      <c r="D320" s="364"/>
      <c r="E320" s="364"/>
      <c r="F320" s="364"/>
      <c r="G320" s="364"/>
      <c r="H320" s="364"/>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row>
    <row r="321" spans="1:30" s="351" customFormat="1">
      <c r="A321" s="363"/>
      <c r="B321" s="363"/>
      <c r="C321" s="364"/>
      <c r="D321" s="364"/>
      <c r="E321" s="364"/>
      <c r="F321" s="364"/>
      <c r="G321" s="364"/>
      <c r="H321" s="364"/>
      <c r="I321" s="364"/>
      <c r="J321" s="364"/>
      <c r="K321" s="364"/>
      <c r="L321" s="364"/>
      <c r="M321" s="364"/>
      <c r="N321" s="364"/>
      <c r="O321" s="364"/>
      <c r="P321" s="364"/>
      <c r="Q321" s="364"/>
      <c r="R321" s="364"/>
      <c r="S321" s="364"/>
      <c r="T321" s="364"/>
      <c r="U321" s="364"/>
      <c r="V321" s="364"/>
      <c r="W321" s="364"/>
      <c r="X321" s="364"/>
      <c r="Y321" s="364"/>
      <c r="Z321" s="364"/>
      <c r="AA321" s="364"/>
      <c r="AB321" s="364"/>
      <c r="AC321" s="364"/>
      <c r="AD321" s="364"/>
    </row>
    <row r="322" spans="1:30" s="351" customFormat="1">
      <c r="A322" s="363"/>
      <c r="B322" s="363"/>
      <c r="C322" s="364"/>
      <c r="D322" s="364"/>
      <c r="E322" s="364"/>
      <c r="F322" s="364"/>
      <c r="G322" s="364"/>
      <c r="H322" s="364"/>
      <c r="I322" s="364"/>
      <c r="J322" s="364"/>
      <c r="K322" s="364"/>
      <c r="L322" s="364"/>
      <c r="M322" s="364"/>
      <c r="N322" s="364"/>
      <c r="O322" s="364"/>
      <c r="P322" s="364"/>
      <c r="Q322" s="364"/>
      <c r="R322" s="364"/>
      <c r="S322" s="364"/>
      <c r="T322" s="364"/>
      <c r="U322" s="364"/>
      <c r="V322" s="364"/>
      <c r="W322" s="364"/>
      <c r="X322" s="364"/>
      <c r="Y322" s="364"/>
      <c r="Z322" s="364"/>
      <c r="AA322" s="364"/>
      <c r="AB322" s="364"/>
      <c r="AC322" s="364"/>
      <c r="AD322" s="364"/>
    </row>
    <row r="323" spans="1:30" s="351" customFormat="1">
      <c r="A323" s="363"/>
      <c r="B323" s="363"/>
      <c r="C323" s="364"/>
      <c r="D323" s="364"/>
      <c r="E323" s="364"/>
      <c r="F323" s="364"/>
      <c r="G323" s="364"/>
      <c r="H323" s="364"/>
      <c r="I323" s="364"/>
      <c r="J323" s="364"/>
      <c r="K323" s="364"/>
      <c r="L323" s="364"/>
      <c r="M323" s="364"/>
      <c r="N323" s="364"/>
      <c r="O323" s="364"/>
      <c r="P323" s="364"/>
      <c r="Q323" s="364"/>
      <c r="R323" s="364"/>
      <c r="S323" s="364"/>
      <c r="T323" s="364"/>
      <c r="U323" s="364"/>
      <c r="V323" s="364"/>
      <c r="W323" s="364"/>
      <c r="X323" s="364"/>
      <c r="Y323" s="364"/>
      <c r="Z323" s="364"/>
      <c r="AA323" s="364"/>
      <c r="AB323" s="364"/>
      <c r="AC323" s="364"/>
      <c r="AD323" s="364"/>
    </row>
    <row r="324" spans="1:30" s="351" customFormat="1">
      <c r="A324" s="363"/>
      <c r="B324" s="363"/>
      <c r="C324" s="364"/>
      <c r="D324" s="364"/>
      <c r="E324" s="364"/>
      <c r="F324" s="364"/>
      <c r="G324" s="364"/>
      <c r="H324" s="364"/>
      <c r="I324" s="364"/>
      <c r="J324" s="364"/>
      <c r="K324" s="364"/>
      <c r="L324" s="364"/>
      <c r="M324" s="364"/>
      <c r="N324" s="364"/>
      <c r="O324" s="364"/>
      <c r="P324" s="364"/>
      <c r="Q324" s="364"/>
      <c r="R324" s="364"/>
      <c r="S324" s="364"/>
      <c r="T324" s="364"/>
      <c r="U324" s="364"/>
      <c r="V324" s="364"/>
      <c r="W324" s="364"/>
      <c r="X324" s="364"/>
      <c r="Y324" s="364"/>
      <c r="Z324" s="364"/>
      <c r="AA324" s="364"/>
      <c r="AB324" s="364"/>
      <c r="AC324" s="364"/>
      <c r="AD324" s="364"/>
    </row>
    <row r="325" spans="1:30" s="351" customFormat="1">
      <c r="A325" s="363"/>
      <c r="B325" s="363"/>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4"/>
      <c r="Y325" s="364"/>
      <c r="Z325" s="364"/>
      <c r="AA325" s="364"/>
      <c r="AB325" s="364"/>
      <c r="AC325" s="364"/>
      <c r="AD325" s="364"/>
    </row>
    <row r="326" spans="1:30" s="351" customFormat="1">
      <c r="A326" s="363"/>
      <c r="B326" s="363"/>
      <c r="C326" s="364"/>
      <c r="D326" s="364"/>
      <c r="E326" s="364"/>
      <c r="F326" s="364"/>
      <c r="G326" s="364"/>
      <c r="H326" s="36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row>
    <row r="327" spans="1:30" s="351" customFormat="1">
      <c r="A327" s="363"/>
      <c r="B327" s="363"/>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row>
    <row r="328" spans="1:30" s="351" customFormat="1">
      <c r="A328" s="363"/>
      <c r="B328" s="363"/>
      <c r="C328" s="364"/>
      <c r="D328" s="364"/>
      <c r="E328" s="364"/>
      <c r="F328" s="364"/>
      <c r="G328" s="364"/>
      <c r="H328" s="364"/>
      <c r="I328" s="364"/>
      <c r="J328" s="364"/>
      <c r="K328" s="364"/>
      <c r="L328" s="364"/>
      <c r="M328" s="364"/>
      <c r="N328" s="364"/>
      <c r="O328" s="364"/>
      <c r="P328" s="364"/>
      <c r="Q328" s="364"/>
      <c r="R328" s="364"/>
      <c r="S328" s="364"/>
      <c r="T328" s="364"/>
      <c r="U328" s="364"/>
      <c r="V328" s="364"/>
      <c r="W328" s="364"/>
      <c r="X328" s="364"/>
      <c r="Y328" s="364"/>
      <c r="Z328" s="364"/>
      <c r="AA328" s="364"/>
      <c r="AB328" s="364"/>
      <c r="AC328" s="364"/>
      <c r="AD328" s="364"/>
    </row>
    <row r="329" spans="1:30" s="351" customFormat="1">
      <c r="A329" s="363"/>
      <c r="B329" s="363"/>
      <c r="C329" s="364"/>
      <c r="D329" s="364"/>
      <c r="E329" s="364"/>
      <c r="F329" s="364"/>
      <c r="G329" s="364"/>
      <c r="H329" s="364"/>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row>
    <row r="330" spans="1:30" s="351" customFormat="1">
      <c r="A330" s="363"/>
      <c r="B330" s="363"/>
      <c r="C330" s="364"/>
      <c r="D330" s="364"/>
      <c r="E330" s="364"/>
      <c r="F330" s="364"/>
      <c r="G330" s="364"/>
      <c r="H330" s="364"/>
      <c r="I330" s="364"/>
      <c r="J330" s="364"/>
      <c r="K330" s="364"/>
      <c r="L330" s="364"/>
      <c r="M330" s="364"/>
      <c r="N330" s="364"/>
      <c r="O330" s="364"/>
      <c r="P330" s="364"/>
      <c r="Q330" s="364"/>
      <c r="R330" s="364"/>
      <c r="S330" s="364"/>
      <c r="T330" s="364"/>
      <c r="U330" s="364"/>
      <c r="V330" s="364"/>
      <c r="W330" s="364"/>
      <c r="X330" s="364"/>
      <c r="Y330" s="364"/>
      <c r="Z330" s="364"/>
      <c r="AA330" s="364"/>
      <c r="AB330" s="364"/>
      <c r="AC330" s="364"/>
      <c r="AD330" s="364"/>
    </row>
    <row r="331" spans="1:30" s="351" customFormat="1">
      <c r="A331" s="363"/>
      <c r="B331" s="363"/>
      <c r="C331" s="364"/>
      <c r="D331" s="364"/>
      <c r="E331" s="364"/>
      <c r="F331" s="364"/>
      <c r="G331" s="364"/>
      <c r="H331" s="364"/>
      <c r="I331" s="364"/>
      <c r="J331" s="364"/>
      <c r="K331" s="364"/>
      <c r="L331" s="364"/>
      <c r="M331" s="364"/>
      <c r="N331" s="364"/>
      <c r="O331" s="364"/>
      <c r="P331" s="364"/>
      <c r="Q331" s="364"/>
      <c r="R331" s="364"/>
      <c r="S331" s="364"/>
      <c r="T331" s="364"/>
      <c r="U331" s="364"/>
      <c r="V331" s="364"/>
      <c r="W331" s="364"/>
      <c r="X331" s="364"/>
      <c r="Y331" s="364"/>
      <c r="Z331" s="364"/>
      <c r="AA331" s="364"/>
      <c r="AB331" s="364"/>
      <c r="AC331" s="364"/>
      <c r="AD331" s="364"/>
    </row>
    <row r="332" spans="1:30" s="351" customFormat="1">
      <c r="A332" s="363"/>
      <c r="B332" s="363"/>
      <c r="C332" s="364"/>
      <c r="D332" s="364"/>
      <c r="E332" s="364"/>
      <c r="F332" s="364"/>
      <c r="G332" s="364"/>
      <c r="H332" s="364"/>
      <c r="I332" s="364"/>
      <c r="J332" s="364"/>
      <c r="K332" s="364"/>
      <c r="L332" s="364"/>
      <c r="M332" s="364"/>
      <c r="N332" s="364"/>
      <c r="O332" s="364"/>
      <c r="P332" s="364"/>
      <c r="Q332" s="364"/>
      <c r="R332" s="364"/>
      <c r="S332" s="364"/>
      <c r="T332" s="364"/>
      <c r="U332" s="364"/>
      <c r="V332" s="364"/>
      <c r="W332" s="364"/>
      <c r="X332" s="364"/>
      <c r="Y332" s="364"/>
      <c r="Z332" s="364"/>
      <c r="AA332" s="364"/>
      <c r="AB332" s="364"/>
      <c r="AC332" s="364"/>
      <c r="AD332" s="364"/>
    </row>
    <row r="333" spans="1:30" s="351" customFormat="1">
      <c r="A333" s="363"/>
      <c r="B333" s="363"/>
      <c r="C333" s="364"/>
      <c r="D333" s="364"/>
      <c r="E333" s="364"/>
      <c r="F333" s="364"/>
      <c r="G333" s="364"/>
      <c r="H333" s="364"/>
      <c r="I333" s="364"/>
      <c r="J333" s="364"/>
      <c r="K333" s="364"/>
      <c r="L333" s="364"/>
      <c r="M333" s="364"/>
      <c r="N333" s="364"/>
      <c r="O333" s="364"/>
      <c r="P333" s="364"/>
      <c r="Q333" s="364"/>
      <c r="R333" s="364"/>
      <c r="S333" s="364"/>
      <c r="T333" s="364"/>
      <c r="U333" s="364"/>
      <c r="V333" s="364"/>
      <c r="W333" s="364"/>
      <c r="X333" s="364"/>
      <c r="Y333" s="364"/>
      <c r="Z333" s="364"/>
      <c r="AA333" s="364"/>
      <c r="AB333" s="364"/>
      <c r="AC333" s="364"/>
      <c r="AD333" s="364"/>
    </row>
    <row r="334" spans="1:30" s="351" customFormat="1">
      <c r="A334" s="363"/>
      <c r="B334" s="363"/>
      <c r="C334" s="364"/>
      <c r="D334" s="364"/>
      <c r="E334" s="364"/>
      <c r="F334" s="364"/>
      <c r="G334" s="364"/>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row>
    <row r="335" spans="1:30" s="351" customFormat="1">
      <c r="A335" s="363"/>
      <c r="B335" s="363"/>
      <c r="C335" s="364"/>
      <c r="D335" s="364"/>
      <c r="E335" s="364"/>
      <c r="F335" s="364"/>
      <c r="G335" s="364"/>
      <c r="H335" s="364"/>
      <c r="I335" s="364"/>
      <c r="J335" s="364"/>
      <c r="K335" s="364"/>
      <c r="L335" s="364"/>
      <c r="M335" s="364"/>
      <c r="N335" s="364"/>
      <c r="O335" s="364"/>
      <c r="P335" s="364"/>
      <c r="Q335" s="364"/>
      <c r="R335" s="364"/>
      <c r="S335" s="364"/>
      <c r="T335" s="364"/>
      <c r="U335" s="364"/>
      <c r="V335" s="364"/>
      <c r="W335" s="364"/>
      <c r="X335" s="364"/>
      <c r="Y335" s="364"/>
      <c r="Z335" s="364"/>
      <c r="AA335" s="364"/>
      <c r="AB335" s="364"/>
      <c r="AC335" s="364"/>
      <c r="AD335" s="364"/>
    </row>
    <row r="336" spans="1:30" s="351" customFormat="1">
      <c r="A336" s="363"/>
      <c r="B336" s="363"/>
      <c r="C336" s="364"/>
      <c r="D336" s="364"/>
      <c r="E336" s="364"/>
      <c r="F336" s="364"/>
      <c r="G336" s="364"/>
      <c r="H336" s="364"/>
      <c r="I336" s="364"/>
      <c r="J336" s="364"/>
      <c r="K336" s="364"/>
      <c r="L336" s="364"/>
      <c r="M336" s="364"/>
      <c r="N336" s="364"/>
      <c r="O336" s="364"/>
      <c r="P336" s="364"/>
      <c r="Q336" s="364"/>
      <c r="R336" s="364"/>
      <c r="S336" s="364"/>
      <c r="T336" s="364"/>
      <c r="U336" s="364"/>
      <c r="V336" s="364"/>
      <c r="W336" s="364"/>
      <c r="X336" s="364"/>
      <c r="Y336" s="364"/>
      <c r="Z336" s="364"/>
      <c r="AA336" s="364"/>
      <c r="AB336" s="364"/>
      <c r="AC336" s="364"/>
      <c r="AD336" s="364"/>
    </row>
    <row r="337" spans="1:30" s="351" customFormat="1">
      <c r="A337" s="363"/>
      <c r="B337" s="363"/>
      <c r="C337" s="364"/>
      <c r="D337" s="364"/>
      <c r="E337" s="364"/>
      <c r="F337" s="364"/>
      <c r="G337" s="364"/>
      <c r="H337" s="364"/>
      <c r="I337" s="364"/>
      <c r="J337" s="364"/>
      <c r="K337" s="364"/>
      <c r="L337" s="364"/>
      <c r="M337" s="364"/>
      <c r="N337" s="364"/>
      <c r="O337" s="364"/>
      <c r="P337" s="364"/>
      <c r="Q337" s="364"/>
      <c r="R337" s="364"/>
      <c r="S337" s="364"/>
      <c r="T337" s="364"/>
      <c r="U337" s="364"/>
      <c r="V337" s="364"/>
      <c r="W337" s="364"/>
      <c r="X337" s="364"/>
      <c r="Y337" s="364"/>
      <c r="Z337" s="364"/>
      <c r="AA337" s="364"/>
      <c r="AB337" s="364"/>
      <c r="AC337" s="364"/>
      <c r="AD337" s="364"/>
    </row>
    <row r="338" spans="1:30" s="351" customFormat="1">
      <c r="A338" s="363"/>
      <c r="B338" s="363"/>
      <c r="C338" s="364"/>
      <c r="D338" s="364"/>
      <c r="E338" s="364"/>
      <c r="F338" s="364"/>
      <c r="G338" s="364"/>
      <c r="H338" s="364"/>
      <c r="I338" s="364"/>
      <c r="J338" s="364"/>
      <c r="K338" s="364"/>
      <c r="L338" s="364"/>
      <c r="M338" s="364"/>
      <c r="N338" s="364"/>
      <c r="O338" s="364"/>
      <c r="P338" s="364"/>
      <c r="Q338" s="364"/>
      <c r="R338" s="364"/>
      <c r="S338" s="364"/>
      <c r="T338" s="364"/>
      <c r="U338" s="364"/>
      <c r="V338" s="364"/>
      <c r="W338" s="364"/>
      <c r="X338" s="364"/>
      <c r="Y338" s="364"/>
      <c r="Z338" s="364"/>
      <c r="AA338" s="364"/>
      <c r="AB338" s="364"/>
      <c r="AC338" s="364"/>
      <c r="AD338" s="364"/>
    </row>
    <row r="339" spans="1:30" s="351" customFormat="1">
      <c r="A339" s="363"/>
      <c r="B339" s="363"/>
      <c r="C339" s="364"/>
      <c r="D339" s="364"/>
      <c r="E339" s="364"/>
      <c r="F339" s="364"/>
      <c r="G339" s="364"/>
      <c r="H339" s="364"/>
      <c r="I339" s="364"/>
      <c r="J339" s="364"/>
      <c r="K339" s="364"/>
      <c r="L339" s="364"/>
      <c r="M339" s="364"/>
      <c r="N339" s="364"/>
      <c r="O339" s="364"/>
      <c r="P339" s="364"/>
      <c r="Q339" s="364"/>
      <c r="R339" s="364"/>
      <c r="S339" s="364"/>
      <c r="T339" s="364"/>
      <c r="U339" s="364"/>
      <c r="V339" s="364"/>
      <c r="W339" s="364"/>
      <c r="X339" s="364"/>
      <c r="Y339" s="364"/>
      <c r="Z339" s="364"/>
      <c r="AA339" s="364"/>
      <c r="AB339" s="364"/>
      <c r="AC339" s="364"/>
      <c r="AD339" s="364"/>
    </row>
    <row r="340" spans="1:30" s="351" customFormat="1">
      <c r="A340" s="363"/>
      <c r="B340" s="363"/>
      <c r="C340" s="364"/>
      <c r="D340" s="364"/>
      <c r="E340" s="364"/>
      <c r="F340" s="364"/>
      <c r="G340" s="364"/>
      <c r="H340" s="364"/>
      <c r="I340" s="364"/>
      <c r="J340" s="364"/>
      <c r="K340" s="364"/>
      <c r="L340" s="364"/>
      <c r="M340" s="364"/>
      <c r="N340" s="364"/>
      <c r="O340" s="364"/>
      <c r="P340" s="364"/>
      <c r="Q340" s="364"/>
      <c r="R340" s="364"/>
      <c r="S340" s="364"/>
      <c r="T340" s="364"/>
      <c r="U340" s="364"/>
      <c r="V340" s="364"/>
      <c r="W340" s="364"/>
      <c r="X340" s="364"/>
      <c r="Y340" s="364"/>
      <c r="Z340" s="364"/>
      <c r="AA340" s="364"/>
      <c r="AB340" s="364"/>
      <c r="AC340" s="364"/>
      <c r="AD340" s="364"/>
    </row>
    <row r="341" spans="1:30" s="351" customFormat="1">
      <c r="A341" s="363"/>
      <c r="B341" s="363"/>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4"/>
      <c r="AC341" s="364"/>
      <c r="AD341" s="364"/>
    </row>
    <row r="342" spans="1:30" s="351" customFormat="1">
      <c r="A342" s="363"/>
      <c r="B342" s="363"/>
      <c r="C342" s="364"/>
      <c r="D342" s="364"/>
      <c r="E342" s="364"/>
      <c r="F342" s="364"/>
      <c r="G342" s="364"/>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row>
    <row r="343" spans="1:30" s="351" customFormat="1">
      <c r="A343" s="363"/>
      <c r="B343" s="363"/>
      <c r="C343" s="364"/>
      <c r="D343" s="364"/>
      <c r="E343" s="364"/>
      <c r="F343" s="364"/>
      <c r="G343" s="364"/>
      <c r="H343" s="364"/>
      <c r="I343" s="364"/>
      <c r="J343" s="364"/>
      <c r="K343" s="364"/>
      <c r="L343" s="364"/>
      <c r="M343" s="364"/>
      <c r="N343" s="364"/>
      <c r="O343" s="364"/>
      <c r="P343" s="364"/>
      <c r="Q343" s="364"/>
      <c r="R343" s="364"/>
      <c r="S343" s="364"/>
      <c r="T343" s="364"/>
      <c r="U343" s="364"/>
      <c r="V343" s="364"/>
      <c r="W343" s="364"/>
      <c r="X343" s="364"/>
      <c r="Y343" s="364"/>
      <c r="Z343" s="364"/>
      <c r="AA343" s="364"/>
      <c r="AB343" s="364"/>
      <c r="AC343" s="364"/>
      <c r="AD343" s="364"/>
    </row>
    <row r="344" spans="1:30" s="351" customFormat="1">
      <c r="A344" s="363"/>
      <c r="B344" s="363"/>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row>
    <row r="345" spans="1:30" s="351" customFormat="1">
      <c r="A345" s="363"/>
      <c r="B345" s="363"/>
      <c r="C345" s="364"/>
      <c r="D345" s="364"/>
      <c r="E345" s="364"/>
      <c r="F345" s="364"/>
      <c r="G345" s="364"/>
      <c r="H345" s="364"/>
      <c r="I345" s="364"/>
      <c r="J345" s="364"/>
      <c r="K345" s="364"/>
      <c r="L345" s="364"/>
      <c r="M345" s="364"/>
      <c r="N345" s="364"/>
      <c r="O345" s="364"/>
      <c r="P345" s="364"/>
      <c r="Q345" s="364"/>
      <c r="R345" s="364"/>
      <c r="S345" s="364"/>
      <c r="T345" s="364"/>
      <c r="U345" s="364"/>
      <c r="V345" s="364"/>
      <c r="W345" s="364"/>
      <c r="X345" s="364"/>
      <c r="Y345" s="364"/>
      <c r="Z345" s="364"/>
      <c r="AA345" s="364"/>
      <c r="AB345" s="364"/>
      <c r="AC345" s="364"/>
      <c r="AD345" s="364"/>
    </row>
    <row r="346" spans="1:30" s="351" customFormat="1">
      <c r="A346" s="363"/>
      <c r="B346" s="363"/>
      <c r="C346" s="364"/>
      <c r="D346" s="364"/>
      <c r="E346" s="364"/>
      <c r="F346" s="364"/>
      <c r="G346" s="364"/>
      <c r="H346" s="364"/>
      <c r="I346" s="364"/>
      <c r="J346" s="364"/>
      <c r="K346" s="364"/>
      <c r="L346" s="364"/>
      <c r="M346" s="364"/>
      <c r="N346" s="364"/>
      <c r="O346" s="364"/>
      <c r="P346" s="364"/>
      <c r="Q346" s="364"/>
      <c r="R346" s="364"/>
      <c r="S346" s="364"/>
      <c r="T346" s="364"/>
      <c r="U346" s="364"/>
      <c r="V346" s="364"/>
      <c r="W346" s="364"/>
      <c r="X346" s="364"/>
      <c r="Y346" s="364"/>
      <c r="Z346" s="364"/>
      <c r="AA346" s="364"/>
      <c r="AB346" s="364"/>
      <c r="AC346" s="364"/>
      <c r="AD346" s="364"/>
    </row>
    <row r="347" spans="1:30" s="351" customFormat="1">
      <c r="A347" s="363"/>
      <c r="B347" s="363"/>
      <c r="C347" s="364"/>
      <c r="D347" s="364"/>
      <c r="E347" s="364"/>
      <c r="F347" s="364"/>
      <c r="G347" s="364"/>
      <c r="H347" s="364"/>
      <c r="I347" s="364"/>
      <c r="J347" s="364"/>
      <c r="K347" s="364"/>
      <c r="L347" s="364"/>
      <c r="M347" s="364"/>
      <c r="N347" s="364"/>
      <c r="O347" s="364"/>
      <c r="P347" s="364"/>
      <c r="Q347" s="364"/>
      <c r="R347" s="364"/>
      <c r="S347" s="364"/>
      <c r="T347" s="364"/>
      <c r="U347" s="364"/>
      <c r="V347" s="364"/>
      <c r="W347" s="364"/>
      <c r="X347" s="364"/>
      <c r="Y347" s="364"/>
      <c r="Z347" s="364"/>
      <c r="AA347" s="364"/>
      <c r="AB347" s="364"/>
      <c r="AC347" s="364"/>
      <c r="AD347" s="364"/>
    </row>
    <row r="348" spans="1:30" s="351" customFormat="1">
      <c r="A348" s="363"/>
      <c r="B348" s="363"/>
      <c r="C348" s="364"/>
      <c r="D348" s="364"/>
      <c r="E348" s="364"/>
      <c r="F348" s="364"/>
      <c r="G348" s="364"/>
      <c r="H348" s="364"/>
      <c r="I348" s="364"/>
      <c r="J348" s="364"/>
      <c r="K348" s="364"/>
      <c r="L348" s="364"/>
      <c r="M348" s="364"/>
      <c r="N348" s="364"/>
      <c r="O348" s="364"/>
      <c r="P348" s="364"/>
      <c r="Q348" s="364"/>
      <c r="R348" s="364"/>
      <c r="S348" s="364"/>
      <c r="T348" s="364"/>
      <c r="U348" s="364"/>
      <c r="V348" s="364"/>
      <c r="W348" s="364"/>
      <c r="X348" s="364"/>
      <c r="Y348" s="364"/>
      <c r="Z348" s="364"/>
      <c r="AA348" s="364"/>
      <c r="AB348" s="364"/>
      <c r="AC348" s="364"/>
      <c r="AD348" s="364"/>
    </row>
    <row r="349" spans="1:30" s="351" customFormat="1">
      <c r="A349" s="363"/>
      <c r="B349" s="363"/>
      <c r="C349" s="364"/>
      <c r="D349" s="364"/>
      <c r="E349" s="364"/>
      <c r="F349" s="364"/>
      <c r="G349" s="364"/>
      <c r="H349" s="364"/>
      <c r="I349" s="364"/>
      <c r="J349" s="364"/>
      <c r="K349" s="364"/>
      <c r="L349" s="364"/>
      <c r="M349" s="364"/>
      <c r="N349" s="364"/>
      <c r="O349" s="364"/>
      <c r="P349" s="364"/>
      <c r="Q349" s="364"/>
      <c r="R349" s="364"/>
      <c r="S349" s="364"/>
      <c r="T349" s="364"/>
      <c r="U349" s="364"/>
      <c r="V349" s="364"/>
      <c r="W349" s="364"/>
      <c r="X349" s="364"/>
      <c r="Y349" s="364"/>
      <c r="Z349" s="364"/>
      <c r="AA349" s="364"/>
      <c r="AB349" s="364"/>
      <c r="AC349" s="364"/>
      <c r="AD349" s="364"/>
    </row>
    <row r="350" spans="1:30" s="351" customFormat="1">
      <c r="A350" s="363"/>
      <c r="B350" s="363"/>
      <c r="C350" s="364"/>
      <c r="D350" s="364"/>
      <c r="E350" s="364"/>
      <c r="F350" s="364"/>
      <c r="G350" s="364"/>
      <c r="H350" s="364"/>
      <c r="I350" s="364"/>
      <c r="J350" s="364"/>
      <c r="K350" s="364"/>
      <c r="L350" s="364"/>
      <c r="M350" s="364"/>
      <c r="N350" s="364"/>
      <c r="O350" s="364"/>
      <c r="P350" s="364"/>
      <c r="Q350" s="364"/>
      <c r="R350" s="364"/>
      <c r="S350" s="364"/>
      <c r="T350" s="364"/>
      <c r="U350" s="364"/>
      <c r="V350" s="364"/>
      <c r="W350" s="364"/>
      <c r="X350" s="364"/>
      <c r="Y350" s="364"/>
      <c r="Z350" s="364"/>
      <c r="AA350" s="364"/>
      <c r="AB350" s="364"/>
      <c r="AC350" s="364"/>
      <c r="AD350" s="364"/>
    </row>
    <row r="351" spans="1:30" s="351" customFormat="1">
      <c r="A351" s="363"/>
      <c r="B351" s="363"/>
      <c r="C351" s="364"/>
      <c r="D351" s="364"/>
      <c r="E351" s="364"/>
      <c r="F351" s="364"/>
      <c r="G351" s="364"/>
      <c r="H351" s="364"/>
      <c r="I351" s="364"/>
      <c r="J351" s="364"/>
      <c r="K351" s="364"/>
      <c r="L351" s="364"/>
      <c r="M351" s="364"/>
      <c r="N351" s="364"/>
      <c r="O351" s="364"/>
      <c r="P351" s="364"/>
      <c r="Q351" s="364"/>
      <c r="R351" s="364"/>
      <c r="S351" s="364"/>
      <c r="T351" s="364"/>
      <c r="U351" s="364"/>
      <c r="V351" s="364"/>
      <c r="W351" s="364"/>
      <c r="X351" s="364"/>
      <c r="Y351" s="364"/>
      <c r="Z351" s="364"/>
      <c r="AA351" s="364"/>
      <c r="AB351" s="364"/>
      <c r="AC351" s="364"/>
      <c r="AD351" s="364"/>
    </row>
    <row r="352" spans="1:30" s="351" customFormat="1">
      <c r="A352" s="363"/>
      <c r="B352" s="363"/>
      <c r="C352" s="364"/>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row>
    <row r="353" spans="1:30" s="351" customFormat="1">
      <c r="A353" s="363"/>
      <c r="B353" s="363"/>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row>
    <row r="354" spans="1:30" s="351" customFormat="1">
      <c r="A354" s="363"/>
      <c r="B354" s="363"/>
      <c r="C354" s="364"/>
      <c r="D354" s="364"/>
      <c r="E354" s="364"/>
      <c r="F354" s="364"/>
      <c r="G354" s="364"/>
      <c r="H354" s="364"/>
      <c r="I354" s="364"/>
      <c r="J354" s="364"/>
      <c r="K354" s="364"/>
      <c r="L354" s="364"/>
      <c r="M354" s="364"/>
      <c r="N354" s="364"/>
      <c r="O354" s="364"/>
      <c r="P354" s="364"/>
      <c r="Q354" s="364"/>
      <c r="R354" s="364"/>
      <c r="S354" s="364"/>
      <c r="T354" s="364"/>
      <c r="U354" s="364"/>
      <c r="V354" s="364"/>
      <c r="W354" s="364"/>
      <c r="X354" s="364"/>
      <c r="Y354" s="364"/>
      <c r="Z354" s="364"/>
      <c r="AA354" s="364"/>
      <c r="AB354" s="364"/>
      <c r="AC354" s="364"/>
      <c r="AD354" s="364"/>
    </row>
    <row r="355" spans="1:30" s="351" customFormat="1">
      <c r="A355" s="363"/>
      <c r="B355" s="363"/>
      <c r="C355" s="364"/>
      <c r="D355" s="364"/>
      <c r="E355" s="364"/>
      <c r="F355" s="364"/>
      <c r="G355" s="364"/>
      <c r="H355" s="364"/>
      <c r="I355" s="364"/>
      <c r="J355" s="364"/>
      <c r="K355" s="364"/>
      <c r="L355" s="364"/>
      <c r="M355" s="364"/>
      <c r="N355" s="364"/>
      <c r="O355" s="364"/>
      <c r="P355" s="364"/>
      <c r="Q355" s="364"/>
      <c r="R355" s="364"/>
      <c r="S355" s="364"/>
      <c r="T355" s="364"/>
      <c r="U355" s="364"/>
      <c r="V355" s="364"/>
      <c r="W355" s="364"/>
      <c r="X355" s="364"/>
      <c r="Y355" s="364"/>
      <c r="Z355" s="364"/>
      <c r="AA355" s="364"/>
      <c r="AB355" s="364"/>
      <c r="AC355" s="364"/>
      <c r="AD355" s="364"/>
    </row>
    <row r="356" spans="1:30" s="351" customFormat="1">
      <c r="A356" s="363"/>
      <c r="B356" s="363"/>
      <c r="C356" s="364"/>
      <c r="D356" s="364"/>
      <c r="E356" s="364"/>
      <c r="F356" s="364"/>
      <c r="G356" s="364"/>
      <c r="H356" s="364"/>
      <c r="I356" s="364"/>
      <c r="J356" s="364"/>
      <c r="K356" s="364"/>
      <c r="L356" s="364"/>
      <c r="M356" s="364"/>
      <c r="N356" s="364"/>
      <c r="O356" s="364"/>
      <c r="P356" s="364"/>
      <c r="Q356" s="364"/>
      <c r="R356" s="364"/>
      <c r="S356" s="364"/>
      <c r="T356" s="364"/>
      <c r="U356" s="364"/>
      <c r="V356" s="364"/>
      <c r="W356" s="364"/>
      <c r="X356" s="364"/>
      <c r="Y356" s="364"/>
      <c r="Z356" s="364"/>
      <c r="AA356" s="364"/>
      <c r="AB356" s="364"/>
      <c r="AC356" s="364"/>
      <c r="AD356" s="364"/>
    </row>
    <row r="357" spans="1:30" s="351" customFormat="1">
      <c r="A357" s="363"/>
      <c r="B357" s="363"/>
      <c r="C357" s="364"/>
      <c r="D357" s="364"/>
      <c r="E357" s="364"/>
      <c r="F357" s="364"/>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row>
    <row r="358" spans="1:30" s="351" customFormat="1">
      <c r="A358" s="363"/>
      <c r="B358" s="363"/>
      <c r="C358" s="364"/>
      <c r="D358" s="364"/>
      <c r="E358" s="364"/>
      <c r="F358" s="364"/>
      <c r="G358" s="364"/>
      <c r="H358" s="364"/>
      <c r="I358" s="364"/>
      <c r="J358" s="364"/>
      <c r="K358" s="364"/>
      <c r="L358" s="364"/>
      <c r="M358" s="364"/>
      <c r="N358" s="364"/>
      <c r="O358" s="364"/>
      <c r="P358" s="364"/>
      <c r="Q358" s="364"/>
      <c r="R358" s="364"/>
      <c r="S358" s="364"/>
      <c r="T358" s="364"/>
      <c r="U358" s="364"/>
      <c r="V358" s="364"/>
      <c r="W358" s="364"/>
      <c r="X358" s="364"/>
      <c r="Y358" s="364"/>
      <c r="Z358" s="364"/>
      <c r="AA358" s="364"/>
      <c r="AB358" s="364"/>
      <c r="AC358" s="364"/>
      <c r="AD358" s="364"/>
    </row>
    <row r="359" spans="1:30" s="351" customFormat="1">
      <c r="A359" s="363"/>
      <c r="B359" s="363"/>
      <c r="C359" s="364"/>
      <c r="D359" s="364"/>
      <c r="E359" s="364"/>
      <c r="F359" s="364"/>
      <c r="G359" s="364"/>
      <c r="H359" s="364"/>
      <c r="I359" s="364"/>
      <c r="J359" s="364"/>
      <c r="K359" s="364"/>
      <c r="L359" s="364"/>
      <c r="M359" s="364"/>
      <c r="N359" s="364"/>
      <c r="O359" s="364"/>
      <c r="P359" s="364"/>
      <c r="Q359" s="364"/>
      <c r="R359" s="364"/>
      <c r="S359" s="364"/>
      <c r="T359" s="364"/>
      <c r="U359" s="364"/>
      <c r="V359" s="364"/>
      <c r="W359" s="364"/>
      <c r="X359" s="364"/>
      <c r="Y359" s="364"/>
      <c r="Z359" s="364"/>
      <c r="AA359" s="364"/>
      <c r="AB359" s="364"/>
      <c r="AC359" s="364"/>
      <c r="AD359" s="364"/>
    </row>
    <row r="360" spans="1:30" s="351" customFormat="1">
      <c r="A360" s="363"/>
      <c r="B360" s="363"/>
      <c r="C360" s="364"/>
      <c r="D360" s="364"/>
      <c r="E360" s="364"/>
      <c r="F360" s="364"/>
      <c r="G360" s="364"/>
      <c r="H360" s="364"/>
      <c r="I360" s="364"/>
      <c r="J360" s="364"/>
      <c r="K360" s="364"/>
      <c r="L360" s="364"/>
      <c r="M360" s="364"/>
      <c r="N360" s="364"/>
      <c r="O360" s="364"/>
      <c r="P360" s="364"/>
      <c r="Q360" s="364"/>
      <c r="R360" s="364"/>
      <c r="S360" s="364"/>
      <c r="T360" s="364"/>
      <c r="U360" s="364"/>
      <c r="V360" s="364"/>
      <c r="W360" s="364"/>
      <c r="X360" s="364"/>
      <c r="Y360" s="364"/>
      <c r="Z360" s="364"/>
      <c r="AA360" s="364"/>
      <c r="AB360" s="364"/>
      <c r="AC360" s="364"/>
      <c r="AD360" s="364"/>
    </row>
    <row r="361" spans="1:30" s="351" customFormat="1">
      <c r="A361" s="363"/>
      <c r="B361" s="363"/>
      <c r="C361" s="364"/>
      <c r="D361" s="364"/>
      <c r="E361" s="364"/>
      <c r="F361" s="364"/>
      <c r="G361" s="364"/>
      <c r="H361" s="364"/>
      <c r="I361" s="364"/>
      <c r="J361" s="364"/>
      <c r="K361" s="364"/>
      <c r="L361" s="364"/>
      <c r="M361" s="364"/>
      <c r="N361" s="364"/>
      <c r="O361" s="364"/>
      <c r="P361" s="364"/>
      <c r="Q361" s="364"/>
      <c r="R361" s="364"/>
      <c r="S361" s="364"/>
      <c r="T361" s="364"/>
      <c r="U361" s="364"/>
      <c r="V361" s="364"/>
      <c r="W361" s="364"/>
      <c r="X361" s="364"/>
      <c r="Y361" s="364"/>
      <c r="Z361" s="364"/>
      <c r="AA361" s="364"/>
      <c r="AB361" s="364"/>
      <c r="AC361" s="364"/>
      <c r="AD361" s="364"/>
    </row>
    <row r="362" spans="1:30" s="351" customFormat="1">
      <c r="A362" s="363"/>
      <c r="B362" s="363"/>
      <c r="C362" s="364"/>
      <c r="D362" s="364"/>
      <c r="E362" s="364"/>
      <c r="F362" s="364"/>
      <c r="G362" s="364"/>
      <c r="H362" s="364"/>
      <c r="I362" s="364"/>
      <c r="J362" s="364"/>
      <c r="K362" s="364"/>
      <c r="L362" s="364"/>
      <c r="M362" s="364"/>
      <c r="N362" s="364"/>
      <c r="O362" s="364"/>
      <c r="P362" s="364"/>
      <c r="Q362" s="364"/>
      <c r="R362" s="364"/>
      <c r="S362" s="364"/>
      <c r="T362" s="364"/>
      <c r="U362" s="364"/>
      <c r="V362" s="364"/>
      <c r="W362" s="364"/>
      <c r="X362" s="364"/>
      <c r="Y362" s="364"/>
      <c r="Z362" s="364"/>
      <c r="AA362" s="364"/>
      <c r="AB362" s="364"/>
      <c r="AC362" s="364"/>
      <c r="AD362" s="364"/>
    </row>
    <row r="363" spans="1:30" s="351" customFormat="1">
      <c r="A363" s="363"/>
      <c r="B363" s="363"/>
      <c r="C363" s="364"/>
      <c r="D363" s="364"/>
      <c r="E363" s="364"/>
      <c r="F363" s="364"/>
      <c r="G363" s="364"/>
      <c r="H363" s="364"/>
      <c r="I363" s="364"/>
      <c r="J363" s="364"/>
      <c r="K363" s="364"/>
      <c r="L363" s="364"/>
      <c r="M363" s="364"/>
      <c r="N363" s="364"/>
      <c r="O363" s="364"/>
      <c r="P363" s="364"/>
      <c r="Q363" s="364"/>
      <c r="R363" s="364"/>
      <c r="S363" s="364"/>
      <c r="T363" s="364"/>
      <c r="U363" s="364"/>
      <c r="V363" s="364"/>
      <c r="W363" s="364"/>
      <c r="X363" s="364"/>
      <c r="Y363" s="364"/>
      <c r="Z363" s="364"/>
      <c r="AA363" s="364"/>
      <c r="AB363" s="364"/>
      <c r="AC363" s="364"/>
      <c r="AD363" s="364"/>
    </row>
    <row r="364" spans="1:30" s="351" customFormat="1">
      <c r="A364" s="363"/>
      <c r="B364" s="363"/>
      <c r="C364" s="364"/>
      <c r="D364" s="364"/>
      <c r="E364" s="364"/>
      <c r="F364" s="364"/>
      <c r="G364" s="364"/>
      <c r="H364" s="364"/>
      <c r="I364" s="364"/>
      <c r="J364" s="364"/>
      <c r="K364" s="364"/>
      <c r="L364" s="364"/>
      <c r="M364" s="364"/>
      <c r="N364" s="364"/>
      <c r="O364" s="364"/>
      <c r="P364" s="364"/>
      <c r="Q364" s="364"/>
      <c r="R364" s="364"/>
      <c r="S364" s="364"/>
      <c r="T364" s="364"/>
      <c r="U364" s="364"/>
      <c r="V364" s="364"/>
      <c r="W364" s="364"/>
      <c r="X364" s="364"/>
      <c r="Y364" s="364"/>
      <c r="Z364" s="364"/>
      <c r="AA364" s="364"/>
      <c r="AB364" s="364"/>
      <c r="AC364" s="364"/>
      <c r="AD364" s="364"/>
    </row>
    <row r="365" spans="1:30" s="351" customFormat="1">
      <c r="A365" s="363"/>
      <c r="B365" s="363"/>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row>
    <row r="366" spans="1:30" s="351" customFormat="1">
      <c r="A366" s="363"/>
      <c r="B366" s="363"/>
      <c r="C366" s="364"/>
      <c r="D366" s="364"/>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row>
    <row r="367" spans="1:30" s="351" customFormat="1">
      <c r="A367" s="363"/>
      <c r="B367" s="363"/>
      <c r="C367" s="364"/>
      <c r="D367" s="364"/>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row>
    <row r="368" spans="1:30" s="351" customFormat="1">
      <c r="A368" s="363"/>
      <c r="B368" s="363"/>
      <c r="C368" s="364"/>
      <c r="D368" s="364"/>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row>
    <row r="369" spans="1:30" s="351" customFormat="1">
      <c r="A369" s="363"/>
      <c r="B369" s="363"/>
      <c r="C369" s="364"/>
      <c r="D369" s="364"/>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row>
    <row r="370" spans="1:30" s="351" customFormat="1">
      <c r="A370" s="363"/>
      <c r="B370" s="363"/>
      <c r="C370" s="364"/>
      <c r="D370" s="364"/>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row>
    <row r="371" spans="1:30" s="351" customFormat="1">
      <c r="A371" s="363"/>
      <c r="B371" s="363"/>
      <c r="C371" s="364"/>
      <c r="D371" s="364"/>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row>
    <row r="372" spans="1:30" s="351" customFormat="1">
      <c r="A372" s="363"/>
      <c r="B372" s="363"/>
      <c r="C372" s="364"/>
      <c r="D372" s="364"/>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row>
    <row r="373" spans="1:30" s="351" customFormat="1">
      <c r="A373" s="363"/>
      <c r="B373" s="363"/>
      <c r="C373" s="364"/>
      <c r="D373" s="364"/>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row>
    <row r="374" spans="1:30" s="351" customFormat="1">
      <c r="A374" s="363"/>
      <c r="B374" s="363"/>
      <c r="C374" s="364"/>
      <c r="D374" s="364"/>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row>
    <row r="375" spans="1:30" s="351" customFormat="1">
      <c r="A375" s="363"/>
      <c r="B375" s="363"/>
      <c r="C375" s="364"/>
      <c r="D375" s="364"/>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row>
    <row r="376" spans="1:30" s="351" customFormat="1">
      <c r="A376" s="363"/>
      <c r="B376" s="363"/>
      <c r="C376" s="364"/>
      <c r="D376" s="364"/>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row>
    <row r="377" spans="1:30" s="351" customFormat="1">
      <c r="A377" s="363"/>
      <c r="B377" s="363"/>
      <c r="C377" s="364"/>
      <c r="D377" s="364"/>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row>
    <row r="378" spans="1:30" s="351" customFormat="1">
      <c r="A378" s="363"/>
      <c r="B378" s="363"/>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row>
    <row r="379" spans="1:30" s="351" customFormat="1">
      <c r="A379" s="363"/>
      <c r="B379" s="363"/>
      <c r="C379" s="364"/>
      <c r="D379" s="364"/>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row>
    <row r="380" spans="1:30" s="351" customFormat="1">
      <c r="A380" s="363"/>
      <c r="B380" s="363"/>
      <c r="C380" s="364"/>
      <c r="D380" s="364"/>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row>
    <row r="381" spans="1:30" s="351" customFormat="1">
      <c r="A381" s="363"/>
      <c r="B381" s="363"/>
      <c r="C381" s="364"/>
      <c r="D381" s="364"/>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row>
    <row r="382" spans="1:30" s="351" customFormat="1">
      <c r="A382" s="363"/>
      <c r="B382" s="363"/>
      <c r="C382" s="364"/>
      <c r="D382" s="364"/>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row>
    <row r="383" spans="1:30" s="351" customFormat="1">
      <c r="A383" s="363"/>
      <c r="B383" s="363"/>
      <c r="C383" s="364"/>
      <c r="D383" s="364"/>
      <c r="E383" s="364"/>
      <c r="F383" s="364"/>
      <c r="G383" s="364"/>
      <c r="H383" s="364"/>
      <c r="I383" s="364"/>
      <c r="J383" s="364"/>
      <c r="K383" s="364"/>
      <c r="L383" s="364"/>
      <c r="M383" s="364"/>
      <c r="N383" s="364"/>
      <c r="O383" s="364"/>
      <c r="P383" s="364"/>
      <c r="Q383" s="364"/>
      <c r="R383" s="364"/>
      <c r="S383" s="364"/>
      <c r="T383" s="364"/>
      <c r="U383" s="364"/>
      <c r="V383" s="364"/>
      <c r="W383" s="364"/>
      <c r="X383" s="364"/>
      <c r="Y383" s="364"/>
      <c r="Z383" s="364"/>
      <c r="AA383" s="364"/>
      <c r="AB383" s="364"/>
      <c r="AC383" s="364"/>
      <c r="AD383" s="364"/>
    </row>
    <row r="384" spans="1:30" s="351" customFormat="1">
      <c r="A384" s="363"/>
      <c r="B384" s="363"/>
      <c r="C384" s="364"/>
      <c r="D384" s="364"/>
      <c r="E384" s="364"/>
      <c r="F384" s="364"/>
      <c r="G384" s="364"/>
      <c r="H384" s="364"/>
      <c r="I384" s="364"/>
      <c r="J384" s="364"/>
      <c r="K384" s="364"/>
      <c r="L384" s="364"/>
      <c r="M384" s="364"/>
      <c r="N384" s="364"/>
      <c r="O384" s="364"/>
      <c r="P384" s="364"/>
      <c r="Q384" s="364"/>
      <c r="R384" s="364"/>
      <c r="S384" s="364"/>
      <c r="T384" s="364"/>
      <c r="U384" s="364"/>
      <c r="V384" s="364"/>
      <c r="W384" s="364"/>
      <c r="X384" s="364"/>
      <c r="Y384" s="364"/>
      <c r="Z384" s="364"/>
      <c r="AA384" s="364"/>
      <c r="AB384" s="364"/>
      <c r="AC384" s="364"/>
      <c r="AD384" s="364"/>
    </row>
    <row r="385" spans="1:30" s="351" customFormat="1">
      <c r="A385" s="363"/>
      <c r="B385" s="363"/>
      <c r="C385" s="364"/>
      <c r="D385" s="364"/>
      <c r="E385" s="364"/>
      <c r="F385" s="364"/>
      <c r="G385" s="364"/>
      <c r="H385" s="364"/>
      <c r="I385" s="364"/>
      <c r="J385" s="364"/>
      <c r="K385" s="364"/>
      <c r="L385" s="364"/>
      <c r="M385" s="364"/>
      <c r="N385" s="364"/>
      <c r="O385" s="364"/>
      <c r="P385" s="364"/>
      <c r="Q385" s="364"/>
      <c r="R385" s="364"/>
      <c r="S385" s="364"/>
      <c r="T385" s="364"/>
      <c r="U385" s="364"/>
      <c r="V385" s="364"/>
      <c r="W385" s="364"/>
      <c r="X385" s="364"/>
      <c r="Y385" s="364"/>
      <c r="Z385" s="364"/>
      <c r="AA385" s="364"/>
      <c r="AB385" s="364"/>
      <c r="AC385" s="364"/>
      <c r="AD385" s="364"/>
    </row>
    <row r="386" spans="1:30" s="351" customFormat="1">
      <c r="A386" s="363"/>
      <c r="B386" s="363"/>
      <c r="C386" s="364"/>
      <c r="D386" s="364"/>
      <c r="E386" s="364"/>
      <c r="F386" s="364"/>
      <c r="G386" s="364"/>
      <c r="H386" s="364"/>
      <c r="I386" s="364"/>
      <c r="J386" s="364"/>
      <c r="K386" s="364"/>
      <c r="L386" s="364"/>
      <c r="M386" s="364"/>
      <c r="N386" s="364"/>
      <c r="O386" s="364"/>
      <c r="P386" s="364"/>
      <c r="Q386" s="364"/>
      <c r="R386" s="364"/>
      <c r="S386" s="364"/>
      <c r="T386" s="364"/>
      <c r="U386" s="364"/>
      <c r="V386" s="364"/>
      <c r="W386" s="364"/>
      <c r="X386" s="364"/>
      <c r="Y386" s="364"/>
      <c r="Z386" s="364"/>
      <c r="AA386" s="364"/>
      <c r="AB386" s="364"/>
      <c r="AC386" s="364"/>
      <c r="AD386" s="364"/>
    </row>
    <row r="387" spans="1:30" s="351" customFormat="1">
      <c r="A387" s="363"/>
      <c r="B387" s="363"/>
      <c r="C387" s="364"/>
      <c r="D387" s="364"/>
      <c r="E387" s="364"/>
      <c r="F387" s="364"/>
      <c r="G387" s="364"/>
      <c r="H387" s="364"/>
      <c r="I387" s="364"/>
      <c r="J387" s="364"/>
      <c r="K387" s="364"/>
      <c r="L387" s="364"/>
      <c r="M387" s="364"/>
      <c r="N387" s="364"/>
      <c r="O387" s="364"/>
      <c r="P387" s="364"/>
      <c r="Q387" s="364"/>
      <c r="R387" s="364"/>
      <c r="S387" s="364"/>
      <c r="T387" s="364"/>
      <c r="U387" s="364"/>
      <c r="V387" s="364"/>
      <c r="W387" s="364"/>
      <c r="X387" s="364"/>
      <c r="Y387" s="364"/>
      <c r="Z387" s="364"/>
      <c r="AA387" s="364"/>
      <c r="AB387" s="364"/>
      <c r="AC387" s="364"/>
      <c r="AD387" s="364"/>
    </row>
    <row r="388" spans="1:30" s="351" customFormat="1">
      <c r="A388" s="363"/>
      <c r="B388" s="363"/>
      <c r="C388" s="364"/>
      <c r="D388" s="364"/>
      <c r="E388" s="364"/>
      <c r="F388" s="364"/>
      <c r="G388" s="364"/>
      <c r="H388" s="364"/>
      <c r="I388" s="364"/>
      <c r="J388" s="364"/>
      <c r="K388" s="364"/>
      <c r="L388" s="364"/>
      <c r="M388" s="364"/>
      <c r="N388" s="364"/>
      <c r="O388" s="364"/>
      <c r="P388" s="364"/>
      <c r="Q388" s="364"/>
      <c r="R388" s="364"/>
      <c r="S388" s="364"/>
      <c r="T388" s="364"/>
      <c r="U388" s="364"/>
      <c r="V388" s="364"/>
      <c r="W388" s="364"/>
      <c r="X388" s="364"/>
      <c r="Y388" s="364"/>
      <c r="Z388" s="364"/>
      <c r="AA388" s="364"/>
      <c r="AB388" s="364"/>
      <c r="AC388" s="364"/>
      <c r="AD388" s="364"/>
    </row>
    <row r="389" spans="1:30" s="351" customFormat="1">
      <c r="A389" s="363"/>
      <c r="B389" s="363"/>
      <c r="C389" s="364"/>
      <c r="D389" s="364"/>
      <c r="E389" s="364"/>
      <c r="F389" s="364"/>
      <c r="G389" s="364"/>
      <c r="H389" s="364"/>
      <c r="I389" s="364"/>
      <c r="J389" s="364"/>
      <c r="K389" s="364"/>
      <c r="L389" s="364"/>
      <c r="M389" s="364"/>
      <c r="N389" s="364"/>
      <c r="O389" s="364"/>
      <c r="P389" s="364"/>
      <c r="Q389" s="364"/>
      <c r="R389" s="364"/>
      <c r="S389" s="364"/>
      <c r="T389" s="364"/>
      <c r="U389" s="364"/>
      <c r="V389" s="364"/>
      <c r="W389" s="364"/>
      <c r="X389" s="364"/>
      <c r="Y389" s="364"/>
      <c r="Z389" s="364"/>
      <c r="AA389" s="364"/>
      <c r="AB389" s="364"/>
      <c r="AC389" s="364"/>
      <c r="AD389" s="364"/>
    </row>
    <row r="390" spans="1:30" s="351" customFormat="1">
      <c r="A390" s="363"/>
      <c r="B390" s="363"/>
      <c r="C390" s="364"/>
      <c r="D390" s="364"/>
      <c r="E390" s="364"/>
      <c r="F390" s="364"/>
      <c r="G390" s="364"/>
      <c r="H390" s="364"/>
      <c r="I390" s="364"/>
      <c r="J390" s="364"/>
      <c r="K390" s="364"/>
      <c r="L390" s="364"/>
      <c r="M390" s="364"/>
      <c r="N390" s="364"/>
      <c r="O390" s="364"/>
      <c r="P390" s="364"/>
      <c r="Q390" s="364"/>
      <c r="R390" s="364"/>
      <c r="S390" s="364"/>
      <c r="T390" s="364"/>
      <c r="U390" s="364"/>
      <c r="V390" s="364"/>
      <c r="W390" s="364"/>
      <c r="X390" s="364"/>
      <c r="Y390" s="364"/>
      <c r="Z390" s="364"/>
      <c r="AA390" s="364"/>
      <c r="AB390" s="364"/>
      <c r="AC390" s="364"/>
      <c r="AD390" s="364"/>
    </row>
    <row r="391" spans="1:30" s="351" customFormat="1">
      <c r="A391" s="363"/>
      <c r="B391" s="363"/>
      <c r="C391" s="364"/>
      <c r="D391" s="364"/>
      <c r="E391" s="364"/>
      <c r="F391" s="364"/>
      <c r="G391" s="364"/>
      <c r="H391" s="364"/>
      <c r="I391" s="364"/>
      <c r="J391" s="364"/>
      <c r="K391" s="364"/>
      <c r="L391" s="364"/>
      <c r="M391" s="364"/>
      <c r="N391" s="364"/>
      <c r="O391" s="364"/>
      <c r="P391" s="364"/>
      <c r="Q391" s="364"/>
      <c r="R391" s="364"/>
      <c r="S391" s="364"/>
      <c r="T391" s="364"/>
      <c r="U391" s="364"/>
      <c r="V391" s="364"/>
      <c r="W391" s="364"/>
      <c r="X391" s="364"/>
      <c r="Y391" s="364"/>
      <c r="Z391" s="364"/>
      <c r="AA391" s="364"/>
      <c r="AB391" s="364"/>
      <c r="AC391" s="364"/>
      <c r="AD391" s="364"/>
    </row>
    <row r="392" spans="1:30" s="351" customFormat="1">
      <c r="A392" s="363"/>
      <c r="B392" s="363"/>
      <c r="C392" s="364"/>
      <c r="D392" s="364"/>
      <c r="E392" s="364"/>
      <c r="F392" s="364"/>
      <c r="G392" s="364"/>
      <c r="H392" s="364"/>
      <c r="I392" s="364"/>
      <c r="J392" s="364"/>
      <c r="K392" s="364"/>
      <c r="L392" s="364"/>
      <c r="M392" s="364"/>
      <c r="N392" s="364"/>
      <c r="O392" s="364"/>
      <c r="P392" s="364"/>
      <c r="Q392" s="364"/>
      <c r="R392" s="364"/>
      <c r="S392" s="364"/>
      <c r="T392" s="364"/>
      <c r="U392" s="364"/>
      <c r="V392" s="364"/>
      <c r="W392" s="364"/>
      <c r="X392" s="364"/>
      <c r="Y392" s="364"/>
      <c r="Z392" s="364"/>
      <c r="AA392" s="364"/>
      <c r="AB392" s="364"/>
      <c r="AC392" s="364"/>
      <c r="AD392" s="364"/>
    </row>
    <row r="393" spans="1:30" s="351" customFormat="1">
      <c r="A393" s="363"/>
      <c r="B393" s="363"/>
      <c r="C393" s="364"/>
      <c r="D393" s="364"/>
      <c r="E393" s="364"/>
      <c r="F393" s="364"/>
      <c r="G393" s="364"/>
      <c r="H393" s="364"/>
      <c r="I393" s="364"/>
      <c r="J393" s="364"/>
      <c r="K393" s="364"/>
      <c r="L393" s="364"/>
      <c r="M393" s="364"/>
      <c r="N393" s="364"/>
      <c r="O393" s="364"/>
      <c r="P393" s="364"/>
      <c r="Q393" s="364"/>
      <c r="R393" s="364"/>
      <c r="S393" s="364"/>
      <c r="T393" s="364"/>
      <c r="U393" s="364"/>
      <c r="V393" s="364"/>
      <c r="W393" s="364"/>
      <c r="X393" s="364"/>
      <c r="Y393" s="364"/>
      <c r="Z393" s="364"/>
      <c r="AA393" s="364"/>
      <c r="AB393" s="364"/>
      <c r="AC393" s="364"/>
      <c r="AD393" s="364"/>
    </row>
    <row r="394" spans="1:30" s="351" customFormat="1">
      <c r="A394" s="363"/>
      <c r="B394" s="363"/>
      <c r="C394" s="364"/>
      <c r="D394" s="364"/>
      <c r="E394" s="364"/>
      <c r="F394" s="364"/>
      <c r="G394" s="364"/>
      <c r="H394" s="364"/>
      <c r="I394" s="364"/>
      <c r="J394" s="364"/>
      <c r="K394" s="364"/>
      <c r="L394" s="364"/>
      <c r="M394" s="364"/>
      <c r="N394" s="364"/>
      <c r="O394" s="364"/>
      <c r="P394" s="364"/>
      <c r="Q394" s="364"/>
      <c r="R394" s="364"/>
      <c r="S394" s="364"/>
      <c r="T394" s="364"/>
      <c r="U394" s="364"/>
      <c r="V394" s="364"/>
      <c r="W394" s="364"/>
      <c r="X394" s="364"/>
      <c r="Y394" s="364"/>
      <c r="Z394" s="364"/>
      <c r="AA394" s="364"/>
      <c r="AB394" s="364"/>
      <c r="AC394" s="364"/>
      <c r="AD394" s="364"/>
    </row>
    <row r="395" spans="1:30" s="351" customFormat="1">
      <c r="A395" s="363"/>
      <c r="B395" s="363"/>
      <c r="C395" s="364"/>
      <c r="D395" s="364"/>
      <c r="E395" s="364"/>
      <c r="F395" s="364"/>
      <c r="G395" s="364"/>
      <c r="H395" s="364"/>
      <c r="I395" s="364"/>
      <c r="J395" s="364"/>
      <c r="K395" s="364"/>
      <c r="L395" s="364"/>
      <c r="M395" s="364"/>
      <c r="N395" s="364"/>
      <c r="O395" s="364"/>
      <c r="P395" s="364"/>
      <c r="Q395" s="364"/>
      <c r="R395" s="364"/>
      <c r="S395" s="364"/>
      <c r="T395" s="364"/>
      <c r="U395" s="364"/>
      <c r="V395" s="364"/>
      <c r="W395" s="364"/>
      <c r="X395" s="364"/>
      <c r="Y395" s="364"/>
      <c r="Z395" s="364"/>
      <c r="AA395" s="364"/>
      <c r="AB395" s="364"/>
      <c r="AC395" s="364"/>
      <c r="AD395" s="364"/>
    </row>
    <row r="396" spans="1:30" s="351" customFormat="1">
      <c r="A396" s="363"/>
      <c r="B396" s="363"/>
      <c r="C396" s="364"/>
      <c r="D396" s="364"/>
      <c r="E396" s="364"/>
      <c r="F396" s="364"/>
      <c r="G396" s="364"/>
      <c r="H396" s="364"/>
      <c r="I396" s="364"/>
      <c r="J396" s="364"/>
      <c r="K396" s="364"/>
      <c r="L396" s="364"/>
      <c r="M396" s="364"/>
      <c r="N396" s="364"/>
      <c r="O396" s="364"/>
      <c r="P396" s="364"/>
      <c r="Q396" s="364"/>
      <c r="R396" s="364"/>
      <c r="S396" s="364"/>
      <c r="T396" s="364"/>
      <c r="U396" s="364"/>
      <c r="V396" s="364"/>
      <c r="W396" s="364"/>
      <c r="X396" s="364"/>
      <c r="Y396" s="364"/>
      <c r="Z396" s="364"/>
      <c r="AA396" s="364"/>
      <c r="AB396" s="364"/>
      <c r="AC396" s="364"/>
      <c r="AD396" s="364"/>
    </row>
    <row r="397" spans="1:30" s="351" customFormat="1">
      <c r="A397" s="363"/>
      <c r="B397" s="363"/>
      <c r="C397" s="364"/>
      <c r="D397" s="364"/>
      <c r="E397" s="364"/>
      <c r="F397" s="364"/>
      <c r="G397" s="364"/>
      <c r="H397" s="364"/>
      <c r="I397" s="364"/>
      <c r="J397" s="364"/>
      <c r="K397" s="364"/>
      <c r="L397" s="364"/>
      <c r="M397" s="364"/>
      <c r="N397" s="364"/>
      <c r="O397" s="364"/>
      <c r="P397" s="364"/>
      <c r="Q397" s="364"/>
      <c r="R397" s="364"/>
      <c r="S397" s="364"/>
      <c r="T397" s="364"/>
      <c r="U397" s="364"/>
      <c r="V397" s="364"/>
      <c r="W397" s="364"/>
      <c r="X397" s="364"/>
      <c r="Y397" s="364"/>
      <c r="Z397" s="364"/>
      <c r="AA397" s="364"/>
      <c r="AB397" s="364"/>
      <c r="AC397" s="364"/>
      <c r="AD397" s="364"/>
    </row>
    <row r="398" spans="1:30" s="351" customFormat="1">
      <c r="A398" s="363"/>
      <c r="B398" s="363"/>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row>
    <row r="399" spans="1:30" s="351" customFormat="1">
      <c r="A399" s="363"/>
      <c r="B399" s="363"/>
      <c r="C399" s="364"/>
      <c r="D399" s="364"/>
      <c r="E399" s="364"/>
      <c r="F399" s="364"/>
      <c r="G399" s="364"/>
      <c r="H399" s="364"/>
      <c r="I399" s="364"/>
      <c r="J399" s="364"/>
      <c r="K399" s="364"/>
      <c r="L399" s="364"/>
      <c r="M399" s="364"/>
      <c r="N399" s="364"/>
      <c r="O399" s="364"/>
      <c r="P399" s="364"/>
      <c r="Q399" s="364"/>
      <c r="R399" s="364"/>
      <c r="S399" s="364"/>
      <c r="T399" s="364"/>
      <c r="U399" s="364"/>
      <c r="V399" s="364"/>
      <c r="W399" s="364"/>
      <c r="X399" s="364"/>
      <c r="Y399" s="364"/>
      <c r="Z399" s="364"/>
      <c r="AA399" s="364"/>
      <c r="AB399" s="364"/>
      <c r="AC399" s="364"/>
      <c r="AD399" s="364"/>
    </row>
    <row r="400" spans="1:30" s="351" customFormat="1">
      <c r="A400" s="363"/>
      <c r="B400" s="363"/>
      <c r="C400" s="364"/>
      <c r="D400" s="364"/>
      <c r="E400" s="364"/>
      <c r="F400" s="364"/>
      <c r="G400" s="364"/>
      <c r="H400" s="364"/>
      <c r="I400" s="364"/>
      <c r="J400" s="364"/>
      <c r="K400" s="364"/>
      <c r="L400" s="364"/>
      <c r="M400" s="364"/>
      <c r="N400" s="364"/>
      <c r="O400" s="364"/>
      <c r="P400" s="364"/>
      <c r="Q400" s="364"/>
      <c r="R400" s="364"/>
      <c r="S400" s="364"/>
      <c r="T400" s="364"/>
      <c r="U400" s="364"/>
      <c r="V400" s="364"/>
      <c r="W400" s="364"/>
      <c r="X400" s="364"/>
      <c r="Y400" s="364"/>
      <c r="Z400" s="364"/>
      <c r="AA400" s="364"/>
      <c r="AB400" s="364"/>
      <c r="AC400" s="364"/>
      <c r="AD400" s="364"/>
    </row>
    <row r="401" spans="1:30" s="351" customFormat="1">
      <c r="A401" s="363"/>
      <c r="B401" s="363"/>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row>
    <row r="402" spans="1:30" s="351" customFormat="1">
      <c r="A402" s="363"/>
      <c r="B402" s="363"/>
      <c r="C402" s="364"/>
      <c r="D402" s="364"/>
      <c r="E402" s="364"/>
      <c r="F402" s="364"/>
      <c r="G402" s="364"/>
      <c r="H402" s="364"/>
      <c r="I402" s="364"/>
      <c r="J402" s="364"/>
      <c r="K402" s="364"/>
      <c r="L402" s="364"/>
      <c r="M402" s="364"/>
      <c r="N402" s="364"/>
      <c r="O402" s="364"/>
      <c r="P402" s="364"/>
      <c r="Q402" s="364"/>
      <c r="R402" s="364"/>
      <c r="S402" s="364"/>
      <c r="T402" s="364"/>
      <c r="U402" s="364"/>
      <c r="V402" s="364"/>
      <c r="W402" s="364"/>
      <c r="X402" s="364"/>
      <c r="Y402" s="364"/>
      <c r="Z402" s="364"/>
      <c r="AA402" s="364"/>
      <c r="AB402" s="364"/>
      <c r="AC402" s="364"/>
      <c r="AD402" s="364"/>
    </row>
    <row r="403" spans="1:30" s="351" customFormat="1">
      <c r="A403" s="363"/>
      <c r="B403" s="363"/>
      <c r="C403" s="364"/>
      <c r="D403" s="364"/>
      <c r="E403" s="364"/>
      <c r="F403" s="364"/>
      <c r="G403" s="364"/>
      <c r="H403" s="364"/>
      <c r="I403" s="364"/>
      <c r="J403" s="364"/>
      <c r="K403" s="364"/>
      <c r="L403" s="364"/>
      <c r="M403" s="364"/>
      <c r="N403" s="364"/>
      <c r="O403" s="364"/>
      <c r="P403" s="364"/>
      <c r="Q403" s="364"/>
      <c r="R403" s="364"/>
      <c r="S403" s="364"/>
      <c r="T403" s="364"/>
      <c r="U403" s="364"/>
      <c r="V403" s="364"/>
      <c r="W403" s="364"/>
      <c r="X403" s="364"/>
      <c r="Y403" s="364"/>
      <c r="Z403" s="364"/>
      <c r="AA403" s="364"/>
      <c r="AB403" s="364"/>
      <c r="AC403" s="364"/>
      <c r="AD403" s="364"/>
    </row>
    <row r="404" spans="1:30" s="351" customFormat="1">
      <c r="A404" s="363"/>
      <c r="B404" s="363"/>
      <c r="C404" s="364"/>
      <c r="D404" s="364"/>
      <c r="E404" s="364"/>
      <c r="F404" s="364"/>
      <c r="G404" s="364"/>
      <c r="H404" s="364"/>
      <c r="I404" s="364"/>
      <c r="J404" s="364"/>
      <c r="K404" s="364"/>
      <c r="L404" s="364"/>
      <c r="M404" s="364"/>
      <c r="N404" s="364"/>
      <c r="O404" s="364"/>
      <c r="P404" s="364"/>
      <c r="Q404" s="364"/>
      <c r="R404" s="364"/>
      <c r="S404" s="364"/>
      <c r="T404" s="364"/>
      <c r="U404" s="364"/>
      <c r="V404" s="364"/>
      <c r="W404" s="364"/>
      <c r="X404" s="364"/>
      <c r="Y404" s="364"/>
      <c r="Z404" s="364"/>
      <c r="AA404" s="364"/>
      <c r="AB404" s="364"/>
      <c r="AC404" s="364"/>
      <c r="AD404" s="364"/>
    </row>
    <row r="405" spans="1:30" s="351" customFormat="1">
      <c r="A405" s="363"/>
      <c r="B405" s="363"/>
      <c r="C405" s="364"/>
      <c r="D405" s="364"/>
      <c r="E405" s="364"/>
      <c r="F405" s="364"/>
      <c r="G405" s="364"/>
      <c r="H405" s="364"/>
      <c r="I405" s="364"/>
      <c r="J405" s="364"/>
      <c r="K405" s="364"/>
      <c r="L405" s="364"/>
      <c r="M405" s="364"/>
      <c r="N405" s="364"/>
      <c r="O405" s="364"/>
      <c r="P405" s="364"/>
      <c r="Q405" s="364"/>
      <c r="R405" s="364"/>
      <c r="S405" s="364"/>
      <c r="T405" s="364"/>
      <c r="U405" s="364"/>
      <c r="V405" s="364"/>
      <c r="W405" s="364"/>
      <c r="X405" s="364"/>
      <c r="Y405" s="364"/>
      <c r="Z405" s="364"/>
      <c r="AA405" s="364"/>
      <c r="AB405" s="364"/>
      <c r="AC405" s="364"/>
      <c r="AD405" s="364"/>
    </row>
    <row r="406" spans="1:30" s="351" customFormat="1">
      <c r="A406" s="363"/>
      <c r="B406" s="363"/>
      <c r="C406" s="364"/>
      <c r="D406" s="364"/>
      <c r="E406" s="364"/>
      <c r="F406" s="364"/>
      <c r="G406" s="364"/>
      <c r="H406" s="364"/>
      <c r="I406" s="364"/>
      <c r="J406" s="364"/>
      <c r="K406" s="364"/>
      <c r="L406" s="364"/>
      <c r="M406" s="364"/>
      <c r="N406" s="364"/>
      <c r="O406" s="364"/>
      <c r="P406" s="364"/>
      <c r="Q406" s="364"/>
      <c r="R406" s="364"/>
      <c r="S406" s="364"/>
      <c r="T406" s="364"/>
      <c r="U406" s="364"/>
      <c r="V406" s="364"/>
      <c r="W406" s="364"/>
      <c r="X406" s="364"/>
      <c r="Y406" s="364"/>
      <c r="Z406" s="364"/>
      <c r="AA406" s="364"/>
      <c r="AB406" s="364"/>
      <c r="AC406" s="364"/>
      <c r="AD406" s="364"/>
    </row>
    <row r="407" spans="1:30" s="351" customFormat="1">
      <c r="A407" s="363"/>
      <c r="B407" s="363"/>
      <c r="C407" s="364"/>
      <c r="D407" s="364"/>
      <c r="E407" s="364"/>
      <c r="F407" s="364"/>
      <c r="G407" s="364"/>
      <c r="H407" s="364"/>
      <c r="I407" s="364"/>
      <c r="J407" s="364"/>
      <c r="K407" s="364"/>
      <c r="L407" s="364"/>
      <c r="M407" s="364"/>
      <c r="N407" s="364"/>
      <c r="O407" s="364"/>
      <c r="P407" s="364"/>
      <c r="Q407" s="364"/>
      <c r="R407" s="364"/>
      <c r="S407" s="364"/>
      <c r="T407" s="364"/>
      <c r="U407" s="364"/>
      <c r="V407" s="364"/>
      <c r="W407" s="364"/>
      <c r="X407" s="364"/>
      <c r="Y407" s="364"/>
      <c r="Z407" s="364"/>
      <c r="AA407" s="364"/>
      <c r="AB407" s="364"/>
      <c r="AC407" s="364"/>
      <c r="AD407" s="364"/>
    </row>
    <row r="408" spans="1:30" s="351" customFormat="1">
      <c r="A408" s="363"/>
      <c r="B408" s="363"/>
      <c r="C408" s="364"/>
      <c r="D408" s="364"/>
      <c r="E408" s="364"/>
      <c r="F408" s="364"/>
      <c r="G408" s="364"/>
      <c r="H408" s="364"/>
      <c r="I408" s="364"/>
      <c r="J408" s="364"/>
      <c r="K408" s="364"/>
      <c r="L408" s="364"/>
      <c r="M408" s="364"/>
      <c r="N408" s="364"/>
      <c r="O408" s="364"/>
      <c r="P408" s="364"/>
      <c r="Q408" s="364"/>
      <c r="R408" s="364"/>
      <c r="S408" s="364"/>
      <c r="T408" s="364"/>
      <c r="U408" s="364"/>
      <c r="V408" s="364"/>
      <c r="W408" s="364"/>
      <c r="X408" s="364"/>
      <c r="Y408" s="364"/>
      <c r="Z408" s="364"/>
      <c r="AA408" s="364"/>
      <c r="AB408" s="364"/>
      <c r="AC408" s="364"/>
      <c r="AD408" s="364"/>
    </row>
    <row r="409" spans="1:30" s="351" customFormat="1">
      <c r="A409" s="363"/>
      <c r="B409" s="363"/>
      <c r="C409" s="364"/>
      <c r="D409" s="364"/>
      <c r="E409" s="364"/>
      <c r="F409" s="364"/>
      <c r="G409" s="364"/>
      <c r="H409" s="364"/>
      <c r="I409" s="364"/>
      <c r="J409" s="364"/>
      <c r="K409" s="364"/>
      <c r="L409" s="364"/>
      <c r="M409" s="364"/>
      <c r="N409" s="364"/>
      <c r="O409" s="364"/>
      <c r="P409" s="364"/>
      <c r="Q409" s="364"/>
      <c r="R409" s="364"/>
      <c r="S409" s="364"/>
      <c r="T409" s="364"/>
      <c r="U409" s="364"/>
      <c r="V409" s="364"/>
      <c r="W409" s="364"/>
      <c r="X409" s="364"/>
      <c r="Y409" s="364"/>
      <c r="Z409" s="364"/>
      <c r="AA409" s="364"/>
      <c r="AB409" s="364"/>
      <c r="AC409" s="364"/>
      <c r="AD409" s="364"/>
    </row>
    <row r="410" spans="1:30" s="351" customFormat="1">
      <c r="A410" s="363"/>
      <c r="B410" s="363"/>
      <c r="C410" s="364"/>
      <c r="D410" s="364"/>
      <c r="E410" s="364"/>
      <c r="F410" s="364"/>
      <c r="G410" s="364"/>
      <c r="H410" s="364"/>
      <c r="I410" s="364"/>
      <c r="J410" s="364"/>
      <c r="K410" s="364"/>
      <c r="L410" s="364"/>
      <c r="M410" s="364"/>
      <c r="N410" s="364"/>
      <c r="O410" s="364"/>
      <c r="P410" s="364"/>
      <c r="Q410" s="364"/>
      <c r="R410" s="364"/>
      <c r="S410" s="364"/>
      <c r="T410" s="364"/>
      <c r="U410" s="364"/>
      <c r="V410" s="364"/>
      <c r="W410" s="364"/>
      <c r="X410" s="364"/>
      <c r="Y410" s="364"/>
      <c r="Z410" s="364"/>
      <c r="AA410" s="364"/>
      <c r="AB410" s="364"/>
      <c r="AC410" s="364"/>
      <c r="AD410" s="364"/>
    </row>
    <row r="411" spans="1:30" s="351" customFormat="1">
      <c r="A411" s="363"/>
      <c r="B411" s="363"/>
      <c r="C411" s="364"/>
      <c r="D411" s="364"/>
      <c r="E411" s="364"/>
      <c r="F411" s="364"/>
      <c r="G411" s="364"/>
      <c r="H411" s="364"/>
      <c r="I411" s="364"/>
      <c r="J411" s="364"/>
      <c r="K411" s="364"/>
      <c r="L411" s="364"/>
      <c r="M411" s="364"/>
      <c r="N411" s="364"/>
      <c r="O411" s="364"/>
      <c r="P411" s="364"/>
      <c r="Q411" s="364"/>
      <c r="R411" s="364"/>
      <c r="S411" s="364"/>
      <c r="T411" s="364"/>
      <c r="U411" s="364"/>
      <c r="V411" s="364"/>
      <c r="W411" s="364"/>
      <c r="X411" s="364"/>
      <c r="Y411" s="364"/>
      <c r="Z411" s="364"/>
      <c r="AA411" s="364"/>
      <c r="AB411" s="364"/>
      <c r="AC411" s="364"/>
      <c r="AD411" s="364"/>
    </row>
    <row r="412" spans="1:30" s="351" customFormat="1">
      <c r="A412" s="363"/>
      <c r="B412" s="363"/>
      <c r="C412" s="364"/>
      <c r="D412" s="364"/>
      <c r="E412" s="364"/>
      <c r="F412" s="364"/>
      <c r="G412" s="364"/>
      <c r="H412" s="364"/>
      <c r="I412" s="364"/>
      <c r="J412" s="364"/>
      <c r="K412" s="364"/>
      <c r="L412" s="364"/>
      <c r="M412" s="364"/>
      <c r="N412" s="364"/>
      <c r="O412" s="364"/>
      <c r="P412" s="364"/>
      <c r="Q412" s="364"/>
      <c r="R412" s="364"/>
      <c r="S412" s="364"/>
      <c r="T412" s="364"/>
      <c r="U412" s="364"/>
      <c r="V412" s="364"/>
      <c r="W412" s="364"/>
      <c r="X412" s="364"/>
      <c r="Y412" s="364"/>
      <c r="Z412" s="364"/>
      <c r="AA412" s="364"/>
      <c r="AB412" s="364"/>
      <c r="AC412" s="364"/>
      <c r="AD412" s="364"/>
    </row>
    <row r="413" spans="1:30" s="351" customFormat="1">
      <c r="A413" s="363"/>
      <c r="B413" s="363"/>
      <c r="C413" s="364"/>
      <c r="D413" s="364"/>
      <c r="E413" s="364"/>
      <c r="F413" s="364"/>
      <c r="G413" s="364"/>
      <c r="H413" s="364"/>
      <c r="I413" s="364"/>
      <c r="J413" s="364"/>
      <c r="K413" s="364"/>
      <c r="L413" s="364"/>
      <c r="M413" s="364"/>
      <c r="N413" s="364"/>
      <c r="O413" s="364"/>
      <c r="P413" s="364"/>
      <c r="Q413" s="364"/>
      <c r="R413" s="364"/>
      <c r="S413" s="364"/>
      <c r="T413" s="364"/>
      <c r="U413" s="364"/>
      <c r="V413" s="364"/>
      <c r="W413" s="364"/>
      <c r="X413" s="364"/>
      <c r="Y413" s="364"/>
      <c r="Z413" s="364"/>
      <c r="AA413" s="364"/>
      <c r="AB413" s="364"/>
      <c r="AC413" s="364"/>
      <c r="AD413" s="364"/>
    </row>
    <row r="414" spans="1:30" s="351" customFormat="1">
      <c r="A414" s="363"/>
      <c r="B414" s="363"/>
      <c r="C414" s="364"/>
      <c r="D414" s="364"/>
      <c r="E414" s="364"/>
      <c r="F414" s="364"/>
      <c r="G414" s="364"/>
      <c r="H414" s="364"/>
      <c r="I414" s="364"/>
      <c r="J414" s="364"/>
      <c r="K414" s="364"/>
      <c r="L414" s="364"/>
      <c r="M414" s="364"/>
      <c r="N414" s="364"/>
      <c r="O414" s="364"/>
      <c r="P414" s="364"/>
      <c r="Q414" s="364"/>
      <c r="R414" s="364"/>
      <c r="S414" s="364"/>
      <c r="T414" s="364"/>
      <c r="U414" s="364"/>
      <c r="V414" s="364"/>
      <c r="W414" s="364"/>
      <c r="X414" s="364"/>
      <c r="Y414" s="364"/>
      <c r="Z414" s="364"/>
      <c r="AA414" s="364"/>
      <c r="AB414" s="364"/>
      <c r="AC414" s="364"/>
      <c r="AD414" s="364"/>
    </row>
    <row r="415" spans="1:30" s="351" customFormat="1">
      <c r="A415" s="363"/>
      <c r="B415" s="363"/>
      <c r="C415" s="364"/>
      <c r="D415" s="364"/>
      <c r="E415" s="364"/>
      <c r="F415" s="364"/>
      <c r="G415" s="364"/>
      <c r="H415" s="364"/>
      <c r="I415" s="364"/>
      <c r="J415" s="364"/>
      <c r="K415" s="364"/>
      <c r="L415" s="364"/>
      <c r="M415" s="364"/>
      <c r="N415" s="364"/>
      <c r="O415" s="364"/>
      <c r="P415" s="364"/>
      <c r="Q415" s="364"/>
      <c r="R415" s="364"/>
      <c r="S415" s="364"/>
      <c r="T415" s="364"/>
      <c r="U415" s="364"/>
      <c r="V415" s="364"/>
      <c r="W415" s="364"/>
      <c r="X415" s="364"/>
      <c r="Y415" s="364"/>
      <c r="Z415" s="364"/>
      <c r="AA415" s="364"/>
      <c r="AB415" s="364"/>
      <c r="AC415" s="364"/>
      <c r="AD415" s="364"/>
    </row>
    <row r="416" spans="1:30" s="351" customFormat="1">
      <c r="A416" s="363"/>
      <c r="B416" s="363"/>
      <c r="C416" s="364"/>
      <c r="D416" s="364"/>
      <c r="E416" s="364"/>
      <c r="F416" s="364"/>
      <c r="G416" s="364"/>
      <c r="H416" s="364"/>
      <c r="I416" s="364"/>
      <c r="J416" s="364"/>
      <c r="K416" s="364"/>
      <c r="L416" s="364"/>
      <c r="M416" s="364"/>
      <c r="N416" s="364"/>
      <c r="O416" s="364"/>
      <c r="P416" s="364"/>
      <c r="Q416" s="364"/>
      <c r="R416" s="364"/>
      <c r="S416" s="364"/>
      <c r="T416" s="364"/>
      <c r="U416" s="364"/>
      <c r="V416" s="364"/>
      <c r="W416" s="364"/>
      <c r="X416" s="364"/>
      <c r="Y416" s="364"/>
      <c r="Z416" s="364"/>
      <c r="AA416" s="364"/>
      <c r="AB416" s="364"/>
      <c r="AC416" s="364"/>
      <c r="AD416" s="364"/>
    </row>
    <row r="417" spans="1:30" s="351" customFormat="1">
      <c r="A417" s="363"/>
      <c r="B417" s="363"/>
      <c r="C417" s="364"/>
      <c r="D417" s="364"/>
      <c r="E417" s="364"/>
      <c r="F417" s="364"/>
      <c r="G417" s="364"/>
      <c r="H417" s="364"/>
      <c r="I417" s="364"/>
      <c r="J417" s="364"/>
      <c r="K417" s="364"/>
      <c r="L417" s="364"/>
      <c r="M417" s="364"/>
      <c r="N417" s="364"/>
      <c r="O417" s="364"/>
      <c r="P417" s="364"/>
      <c r="Q417" s="364"/>
      <c r="R417" s="364"/>
      <c r="S417" s="364"/>
      <c r="T417" s="364"/>
      <c r="U417" s="364"/>
      <c r="V417" s="364"/>
      <c r="W417" s="364"/>
      <c r="X417" s="364"/>
      <c r="Y417" s="364"/>
      <c r="Z417" s="364"/>
      <c r="AA417" s="364"/>
      <c r="AB417" s="364"/>
      <c r="AC417" s="364"/>
      <c r="AD417" s="364"/>
    </row>
    <row r="418" spans="1:30" s="351" customFormat="1">
      <c r="A418" s="363"/>
      <c r="B418" s="363"/>
      <c r="C418" s="364"/>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row>
    <row r="419" spans="1:30" s="351" customFormat="1">
      <c r="A419" s="363"/>
      <c r="B419" s="363"/>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row>
    <row r="420" spans="1:30" s="351" customFormat="1">
      <c r="A420" s="363"/>
      <c r="B420" s="363"/>
      <c r="C420" s="364"/>
      <c r="D420" s="364"/>
      <c r="E420" s="364"/>
      <c r="F420" s="364"/>
      <c r="G420" s="364"/>
      <c r="H420" s="364"/>
      <c r="I420" s="364"/>
      <c r="J420" s="364"/>
      <c r="K420" s="364"/>
      <c r="L420" s="364"/>
      <c r="M420" s="364"/>
      <c r="N420" s="364"/>
      <c r="O420" s="364"/>
      <c r="P420" s="364"/>
      <c r="Q420" s="364"/>
      <c r="R420" s="364"/>
      <c r="S420" s="364"/>
      <c r="T420" s="364"/>
      <c r="U420" s="364"/>
      <c r="V420" s="364"/>
      <c r="W420" s="364"/>
      <c r="X420" s="364"/>
      <c r="Y420" s="364"/>
      <c r="Z420" s="364"/>
      <c r="AA420" s="364"/>
      <c r="AB420" s="364"/>
      <c r="AC420" s="364"/>
      <c r="AD420" s="364"/>
    </row>
    <row r="421" spans="1:30" s="351" customFormat="1">
      <c r="A421" s="363"/>
      <c r="B421" s="363"/>
      <c r="C421" s="364"/>
      <c r="D421" s="364"/>
      <c r="E421" s="364"/>
      <c r="F421" s="364"/>
      <c r="G421" s="364"/>
      <c r="H421" s="364"/>
      <c r="I421" s="364"/>
      <c r="J421" s="364"/>
      <c r="K421" s="364"/>
      <c r="L421" s="364"/>
      <c r="M421" s="364"/>
      <c r="N421" s="364"/>
      <c r="O421" s="364"/>
      <c r="P421" s="364"/>
      <c r="Q421" s="364"/>
      <c r="R421" s="364"/>
      <c r="S421" s="364"/>
      <c r="T421" s="364"/>
      <c r="U421" s="364"/>
      <c r="V421" s="364"/>
      <c r="W421" s="364"/>
      <c r="X421" s="364"/>
      <c r="Y421" s="364"/>
      <c r="Z421" s="364"/>
      <c r="AA421" s="364"/>
      <c r="AB421" s="364"/>
      <c r="AC421" s="364"/>
      <c r="AD421" s="364"/>
    </row>
    <row r="422" spans="1:30" s="351" customFormat="1">
      <c r="A422" s="363"/>
      <c r="B422" s="363"/>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364"/>
      <c r="AD422" s="364"/>
    </row>
    <row r="423" spans="1:30" s="351" customFormat="1">
      <c r="A423" s="373"/>
      <c r="B423" s="373"/>
      <c r="C423" s="364"/>
      <c r="D423" s="364"/>
      <c r="E423" s="364"/>
      <c r="F423" s="364"/>
      <c r="G423" s="364"/>
      <c r="H423" s="364"/>
      <c r="I423" s="364"/>
      <c r="J423" s="364"/>
      <c r="K423" s="364"/>
      <c r="L423" s="364"/>
      <c r="M423" s="364"/>
      <c r="N423" s="364"/>
      <c r="O423" s="364"/>
      <c r="P423" s="364"/>
      <c r="Q423" s="364"/>
      <c r="R423" s="364"/>
      <c r="S423" s="364"/>
      <c r="T423" s="364"/>
      <c r="U423" s="364"/>
      <c r="V423" s="364"/>
      <c r="W423" s="364"/>
      <c r="X423" s="364"/>
      <c r="Y423" s="364"/>
      <c r="Z423" s="364"/>
      <c r="AA423" s="364"/>
      <c r="AB423" s="364"/>
      <c r="AC423" s="364"/>
      <c r="AD423" s="364"/>
    </row>
    <row r="424" spans="1:30" s="351" customFormat="1">
      <c r="A424" s="373"/>
      <c r="B424" s="373"/>
      <c r="C424" s="364"/>
      <c r="D424" s="364"/>
      <c r="E424" s="364"/>
      <c r="F424" s="364"/>
      <c r="G424" s="364"/>
      <c r="H424" s="364"/>
      <c r="I424" s="364"/>
      <c r="J424" s="364"/>
      <c r="K424" s="364"/>
      <c r="L424" s="364"/>
      <c r="M424" s="364"/>
      <c r="N424" s="364"/>
      <c r="O424" s="364"/>
      <c r="P424" s="364"/>
      <c r="Q424" s="364"/>
      <c r="R424" s="364"/>
      <c r="S424" s="364"/>
      <c r="T424" s="364"/>
      <c r="U424" s="364"/>
      <c r="V424" s="364"/>
      <c r="W424" s="364"/>
      <c r="X424" s="364"/>
      <c r="Y424" s="364"/>
      <c r="Z424" s="364"/>
      <c r="AA424" s="364"/>
      <c r="AB424" s="364"/>
      <c r="AC424" s="364"/>
      <c r="AD424" s="364"/>
    </row>
    <row r="425" spans="1:30" s="351" customFormat="1">
      <c r="A425" s="373"/>
      <c r="B425" s="373"/>
      <c r="C425" s="364"/>
      <c r="D425" s="364"/>
      <c r="E425" s="364"/>
      <c r="F425" s="364"/>
      <c r="G425" s="364"/>
      <c r="H425" s="364"/>
      <c r="I425" s="364"/>
      <c r="J425" s="364"/>
      <c r="K425" s="364"/>
      <c r="L425" s="364"/>
      <c r="M425" s="364"/>
      <c r="N425" s="364"/>
      <c r="O425" s="364"/>
      <c r="P425" s="364"/>
      <c r="Q425" s="364"/>
      <c r="R425" s="364"/>
      <c r="S425" s="364"/>
      <c r="T425" s="364"/>
      <c r="U425" s="364"/>
      <c r="V425" s="364"/>
      <c r="W425" s="364"/>
      <c r="X425" s="364"/>
      <c r="Y425" s="364"/>
      <c r="Z425" s="364"/>
      <c r="AA425" s="364"/>
      <c r="AB425" s="364"/>
      <c r="AC425" s="364"/>
      <c r="AD425" s="364"/>
    </row>
    <row r="426" spans="1:30" s="351" customFormat="1">
      <c r="A426" s="373"/>
      <c r="B426" s="373"/>
      <c r="C426" s="364"/>
      <c r="D426" s="364"/>
      <c r="E426" s="364"/>
      <c r="F426" s="364"/>
      <c r="G426" s="364"/>
      <c r="H426" s="364"/>
      <c r="I426" s="364"/>
      <c r="J426" s="364"/>
      <c r="K426" s="364"/>
      <c r="L426" s="364"/>
      <c r="M426" s="364"/>
      <c r="N426" s="364"/>
      <c r="O426" s="364"/>
      <c r="P426" s="364"/>
      <c r="Q426" s="364"/>
      <c r="R426" s="364"/>
      <c r="S426" s="364"/>
      <c r="T426" s="364"/>
      <c r="U426" s="364"/>
      <c r="V426" s="364"/>
      <c r="W426" s="364"/>
      <c r="X426" s="364"/>
      <c r="Y426" s="364"/>
      <c r="Z426" s="364"/>
      <c r="AA426" s="364"/>
      <c r="AB426" s="364"/>
      <c r="AC426" s="364"/>
      <c r="AD426" s="364"/>
    </row>
    <row r="427" spans="1:30" s="351" customFormat="1">
      <c r="A427" s="373"/>
      <c r="B427" s="373"/>
      <c r="C427" s="364"/>
      <c r="D427" s="364"/>
      <c r="E427" s="364"/>
      <c r="F427" s="364"/>
      <c r="G427" s="364"/>
      <c r="H427" s="364"/>
      <c r="I427" s="364"/>
      <c r="J427" s="364"/>
      <c r="K427" s="364"/>
      <c r="L427" s="364"/>
      <c r="M427" s="364"/>
      <c r="N427" s="364"/>
      <c r="O427" s="364"/>
      <c r="P427" s="364"/>
      <c r="Q427" s="364"/>
      <c r="R427" s="364"/>
      <c r="S427" s="364"/>
      <c r="T427" s="364"/>
      <c r="U427" s="364"/>
      <c r="V427" s="364"/>
      <c r="W427" s="364"/>
      <c r="X427" s="364"/>
      <c r="Y427" s="364"/>
      <c r="Z427" s="364"/>
      <c r="AA427" s="364"/>
      <c r="AB427" s="364"/>
      <c r="AC427" s="364"/>
      <c r="AD427" s="364"/>
    </row>
    <row r="428" spans="1:30" s="351" customFormat="1">
      <c r="A428" s="373"/>
      <c r="B428" s="373"/>
      <c r="C428" s="364"/>
      <c r="D428" s="364"/>
      <c r="E428" s="364"/>
      <c r="F428" s="364"/>
      <c r="G428" s="364"/>
      <c r="H428" s="364"/>
      <c r="I428" s="364"/>
      <c r="J428" s="364"/>
      <c r="K428" s="364"/>
      <c r="L428" s="364"/>
      <c r="M428" s="364"/>
      <c r="N428" s="364"/>
      <c r="O428" s="364"/>
      <c r="P428" s="364"/>
      <c r="Q428" s="364"/>
      <c r="R428" s="364"/>
      <c r="S428" s="364"/>
      <c r="T428" s="364"/>
      <c r="U428" s="364"/>
      <c r="V428" s="364"/>
      <c r="W428" s="364"/>
      <c r="X428" s="364"/>
      <c r="Y428" s="364"/>
      <c r="Z428" s="364"/>
      <c r="AA428" s="364"/>
      <c r="AB428" s="364"/>
      <c r="AC428" s="364"/>
      <c r="AD428" s="364"/>
    </row>
    <row r="429" spans="1:30" s="351" customFormat="1">
      <c r="A429" s="373"/>
      <c r="B429" s="373"/>
      <c r="C429" s="364"/>
      <c r="D429" s="364"/>
      <c r="E429" s="364"/>
      <c r="F429" s="364"/>
      <c r="G429" s="364"/>
      <c r="H429" s="364"/>
      <c r="I429" s="364"/>
      <c r="J429" s="364"/>
      <c r="K429" s="364"/>
      <c r="L429" s="364"/>
      <c r="M429" s="364"/>
      <c r="N429" s="364"/>
      <c r="O429" s="364"/>
      <c r="P429" s="364"/>
      <c r="Q429" s="364"/>
      <c r="R429" s="364"/>
      <c r="S429" s="364"/>
      <c r="T429" s="364"/>
      <c r="U429" s="364"/>
      <c r="V429" s="364"/>
      <c r="W429" s="364"/>
      <c r="X429" s="364"/>
      <c r="Y429" s="364"/>
      <c r="Z429" s="364"/>
      <c r="AA429" s="364"/>
      <c r="AB429" s="364"/>
      <c r="AC429" s="364"/>
      <c r="AD429" s="364"/>
    </row>
    <row r="430" spans="1:30" s="351" customFormat="1">
      <c r="A430" s="373"/>
      <c r="B430" s="373"/>
      <c r="C430" s="364"/>
      <c r="D430" s="364"/>
      <c r="E430" s="364"/>
      <c r="F430" s="364"/>
      <c r="G430" s="364"/>
      <c r="H430" s="364"/>
      <c r="I430" s="364"/>
      <c r="J430" s="364"/>
      <c r="K430" s="364"/>
      <c r="L430" s="364"/>
      <c r="M430" s="364"/>
      <c r="N430" s="364"/>
      <c r="O430" s="364"/>
      <c r="P430" s="364"/>
      <c r="Q430" s="364"/>
      <c r="R430" s="364"/>
      <c r="S430" s="364"/>
      <c r="T430" s="364"/>
      <c r="U430" s="364"/>
      <c r="V430" s="364"/>
      <c r="W430" s="364"/>
      <c r="X430" s="364"/>
      <c r="Y430" s="364"/>
      <c r="Z430" s="364"/>
      <c r="AA430" s="364"/>
      <c r="AB430" s="364"/>
      <c r="AC430" s="364"/>
      <c r="AD430" s="364"/>
    </row>
    <row r="431" spans="1:30" s="351" customFormat="1">
      <c r="A431" s="373"/>
      <c r="B431" s="373"/>
      <c r="C431" s="364"/>
      <c r="D431" s="364"/>
      <c r="E431" s="364"/>
      <c r="F431" s="364"/>
      <c r="G431" s="364"/>
      <c r="H431" s="364"/>
      <c r="I431" s="364"/>
      <c r="J431" s="364"/>
      <c r="K431" s="364"/>
      <c r="L431" s="364"/>
      <c r="M431" s="364"/>
      <c r="N431" s="364"/>
      <c r="O431" s="364"/>
      <c r="P431" s="364"/>
      <c r="Q431" s="364"/>
      <c r="R431" s="364"/>
      <c r="S431" s="364"/>
      <c r="T431" s="364"/>
      <c r="U431" s="364"/>
      <c r="V431" s="364"/>
      <c r="W431" s="364"/>
      <c r="X431" s="364"/>
      <c r="Y431" s="364"/>
      <c r="Z431" s="364"/>
      <c r="AA431" s="364"/>
      <c r="AB431" s="364"/>
      <c r="AC431" s="364"/>
      <c r="AD431" s="364"/>
    </row>
    <row r="432" spans="1:30" s="351" customFormat="1">
      <c r="A432" s="373"/>
      <c r="B432" s="373"/>
      <c r="C432" s="364"/>
      <c r="D432" s="364"/>
      <c r="E432" s="364"/>
      <c r="F432" s="364"/>
      <c r="G432" s="364"/>
      <c r="H432" s="364"/>
      <c r="I432" s="364"/>
      <c r="J432" s="364"/>
      <c r="K432" s="364"/>
      <c r="L432" s="364"/>
      <c r="M432" s="364"/>
      <c r="N432" s="364"/>
      <c r="O432" s="364"/>
      <c r="P432" s="364"/>
      <c r="Q432" s="364"/>
      <c r="R432" s="364"/>
      <c r="S432" s="364"/>
      <c r="T432" s="364"/>
      <c r="U432" s="364"/>
      <c r="V432" s="364"/>
      <c r="W432" s="364"/>
      <c r="X432" s="364"/>
      <c r="Y432" s="364"/>
      <c r="Z432" s="364"/>
      <c r="AA432" s="364"/>
      <c r="AB432" s="364"/>
      <c r="AC432" s="364"/>
      <c r="AD432" s="364"/>
    </row>
    <row r="433" spans="1:30" s="351" customFormat="1">
      <c r="A433" s="373"/>
      <c r="B433" s="373"/>
      <c r="C433" s="364"/>
      <c r="D433" s="364"/>
      <c r="E433" s="364"/>
      <c r="F433" s="364"/>
      <c r="G433" s="364"/>
      <c r="H433" s="364"/>
      <c r="I433" s="364"/>
      <c r="J433" s="364"/>
      <c r="K433" s="364"/>
      <c r="L433" s="364"/>
      <c r="M433" s="364"/>
      <c r="N433" s="364"/>
      <c r="O433" s="364"/>
      <c r="P433" s="364"/>
      <c r="Q433" s="364"/>
      <c r="R433" s="364"/>
      <c r="S433" s="364"/>
      <c r="T433" s="364"/>
      <c r="U433" s="364"/>
      <c r="V433" s="364"/>
      <c r="W433" s="364"/>
      <c r="X433" s="364"/>
      <c r="Y433" s="364"/>
      <c r="Z433" s="364"/>
      <c r="AA433" s="364"/>
      <c r="AB433" s="364"/>
      <c r="AC433" s="364"/>
      <c r="AD433" s="364"/>
    </row>
    <row r="434" spans="1:30" s="351" customFormat="1">
      <c r="A434" s="373"/>
      <c r="B434" s="373"/>
      <c r="C434" s="364"/>
      <c r="D434" s="364"/>
      <c r="E434" s="364"/>
      <c r="F434" s="364"/>
      <c r="G434" s="364"/>
      <c r="H434" s="364"/>
      <c r="I434" s="364"/>
      <c r="J434" s="364"/>
      <c r="K434" s="364"/>
      <c r="L434" s="364"/>
      <c r="M434" s="364"/>
      <c r="N434" s="364"/>
      <c r="O434" s="364"/>
      <c r="P434" s="364"/>
      <c r="Q434" s="364"/>
      <c r="R434" s="364"/>
      <c r="S434" s="364"/>
      <c r="T434" s="364"/>
      <c r="U434" s="364"/>
      <c r="V434" s="364"/>
      <c r="W434" s="364"/>
      <c r="X434" s="364"/>
      <c r="Y434" s="364"/>
      <c r="Z434" s="364"/>
      <c r="AA434" s="364"/>
      <c r="AB434" s="364"/>
      <c r="AC434" s="364"/>
      <c r="AD434" s="364"/>
    </row>
    <row r="435" spans="1:30" s="351" customFormat="1">
      <c r="A435" s="373"/>
      <c r="B435" s="373"/>
      <c r="C435" s="364"/>
      <c r="D435" s="364"/>
      <c r="E435" s="364"/>
      <c r="F435" s="364"/>
      <c r="G435" s="364"/>
      <c r="H435" s="364"/>
      <c r="I435" s="364"/>
      <c r="J435" s="364"/>
      <c r="K435" s="364"/>
      <c r="L435" s="364"/>
      <c r="M435" s="364"/>
      <c r="N435" s="364"/>
      <c r="O435" s="364"/>
      <c r="P435" s="364"/>
      <c r="Q435" s="364"/>
      <c r="R435" s="364"/>
      <c r="S435" s="364"/>
      <c r="T435" s="364"/>
      <c r="U435" s="364"/>
      <c r="V435" s="364"/>
      <c r="W435" s="364"/>
      <c r="X435" s="364"/>
      <c r="Y435" s="364"/>
      <c r="Z435" s="364"/>
      <c r="AA435" s="364"/>
      <c r="AB435" s="364"/>
      <c r="AC435" s="364"/>
      <c r="AD435" s="364"/>
    </row>
    <row r="436" spans="1:30" s="351" customFormat="1">
      <c r="C436" s="364"/>
      <c r="D436" s="364"/>
      <c r="E436" s="364"/>
      <c r="F436" s="364"/>
      <c r="G436" s="364"/>
      <c r="H436" s="364"/>
      <c r="I436" s="364"/>
      <c r="J436" s="364"/>
      <c r="K436" s="364"/>
      <c r="L436" s="364"/>
      <c r="M436" s="364"/>
      <c r="N436" s="364"/>
      <c r="O436" s="364"/>
      <c r="P436" s="364"/>
      <c r="Q436" s="364"/>
      <c r="R436" s="364"/>
      <c r="S436" s="364"/>
      <c r="T436" s="364"/>
      <c r="U436" s="364"/>
      <c r="V436" s="364"/>
      <c r="W436" s="364"/>
      <c r="X436" s="364"/>
      <c r="Y436" s="364"/>
      <c r="Z436" s="364"/>
      <c r="AA436" s="364"/>
      <c r="AB436" s="364"/>
      <c r="AC436" s="364"/>
      <c r="AD436" s="364"/>
    </row>
    <row r="437" spans="1:30" s="351" customFormat="1">
      <c r="C437" s="364"/>
      <c r="D437" s="364"/>
      <c r="E437" s="364"/>
      <c r="F437" s="364"/>
      <c r="G437" s="364"/>
      <c r="H437" s="364"/>
      <c r="I437" s="364"/>
      <c r="J437" s="364"/>
      <c r="K437" s="364"/>
      <c r="L437" s="364"/>
      <c r="M437" s="364"/>
      <c r="N437" s="364"/>
      <c r="O437" s="364"/>
      <c r="P437" s="364"/>
      <c r="Q437" s="364"/>
      <c r="R437" s="364"/>
      <c r="S437" s="364"/>
      <c r="T437" s="364"/>
      <c r="U437" s="364"/>
      <c r="V437" s="364"/>
      <c r="W437" s="364"/>
      <c r="X437" s="364"/>
      <c r="Y437" s="364"/>
      <c r="Z437" s="364"/>
      <c r="AA437" s="364"/>
      <c r="AB437" s="364"/>
      <c r="AC437" s="364"/>
      <c r="AD437" s="364"/>
    </row>
    <row r="438" spans="1:30" s="351" customFormat="1">
      <c r="C438" s="364"/>
      <c r="D438" s="364"/>
      <c r="E438" s="364"/>
      <c r="F438" s="364"/>
      <c r="G438" s="364"/>
      <c r="H438" s="364"/>
      <c r="I438" s="364"/>
      <c r="J438" s="364"/>
      <c r="K438" s="364"/>
      <c r="L438" s="364"/>
      <c r="M438" s="364"/>
      <c r="N438" s="364"/>
      <c r="O438" s="364"/>
      <c r="P438" s="364"/>
      <c r="Q438" s="364"/>
      <c r="R438" s="364"/>
      <c r="S438" s="364"/>
      <c r="T438" s="364"/>
      <c r="U438" s="364"/>
      <c r="V438" s="364"/>
      <c r="W438" s="364"/>
      <c r="X438" s="364"/>
      <c r="Y438" s="364"/>
      <c r="Z438" s="364"/>
      <c r="AA438" s="364"/>
      <c r="AB438" s="364"/>
      <c r="AC438" s="364"/>
      <c r="AD438" s="364"/>
    </row>
    <row r="439" spans="1:30" s="351" customFormat="1">
      <c r="C439" s="364"/>
      <c r="D439" s="364"/>
      <c r="E439" s="364"/>
      <c r="F439" s="364"/>
      <c r="G439" s="364"/>
      <c r="H439" s="364"/>
      <c r="I439" s="364"/>
      <c r="J439" s="364"/>
      <c r="K439" s="364"/>
      <c r="L439" s="364"/>
      <c r="M439" s="364"/>
      <c r="N439" s="364"/>
      <c r="O439" s="364"/>
      <c r="P439" s="364"/>
      <c r="Q439" s="364"/>
      <c r="R439" s="364"/>
      <c r="S439" s="364"/>
      <c r="T439" s="364"/>
      <c r="U439" s="364"/>
      <c r="V439" s="364"/>
      <c r="W439" s="364"/>
      <c r="X439" s="364"/>
      <c r="Y439" s="364"/>
      <c r="Z439" s="364"/>
      <c r="AA439" s="364"/>
      <c r="AB439" s="364"/>
      <c r="AC439" s="364"/>
      <c r="AD439" s="364"/>
    </row>
    <row r="440" spans="1:30" s="351" customFormat="1">
      <c r="C440" s="364"/>
      <c r="D440" s="364"/>
      <c r="E440" s="364"/>
      <c r="F440" s="364"/>
      <c r="G440" s="364"/>
      <c r="H440" s="364"/>
      <c r="I440" s="364"/>
      <c r="J440" s="364"/>
      <c r="K440" s="364"/>
      <c r="L440" s="364"/>
      <c r="M440" s="364"/>
      <c r="N440" s="364"/>
      <c r="O440" s="364"/>
      <c r="P440" s="364"/>
      <c r="Q440" s="364"/>
      <c r="R440" s="364"/>
      <c r="S440" s="364"/>
      <c r="T440" s="364"/>
      <c r="U440" s="364"/>
      <c r="V440" s="364"/>
      <c r="W440" s="364"/>
      <c r="X440" s="364"/>
      <c r="Y440" s="364"/>
      <c r="Z440" s="364"/>
      <c r="AA440" s="364"/>
      <c r="AB440" s="364"/>
      <c r="AC440" s="364"/>
      <c r="AD440" s="364"/>
    </row>
    <row r="441" spans="1:30" s="351" customFormat="1">
      <c r="C441" s="364"/>
      <c r="D441" s="364"/>
      <c r="E441" s="364"/>
      <c r="F441" s="364"/>
      <c r="G441" s="364"/>
      <c r="H441" s="364"/>
      <c r="I441" s="364"/>
      <c r="J441" s="364"/>
      <c r="K441" s="364"/>
      <c r="L441" s="364"/>
      <c r="M441" s="364"/>
      <c r="N441" s="364"/>
      <c r="O441" s="364"/>
      <c r="P441" s="364"/>
      <c r="Q441" s="364"/>
      <c r="R441" s="364"/>
      <c r="S441" s="364"/>
      <c r="T441" s="364"/>
      <c r="U441" s="364"/>
      <c r="V441" s="364"/>
      <c r="W441" s="364"/>
      <c r="X441" s="364"/>
      <c r="Y441" s="364"/>
      <c r="Z441" s="364"/>
      <c r="AA441" s="364"/>
      <c r="AB441" s="364"/>
      <c r="AC441" s="364"/>
      <c r="AD441" s="364"/>
    </row>
    <row r="442" spans="1:30" s="351" customFormat="1">
      <c r="C442" s="364"/>
      <c r="D442" s="364"/>
      <c r="E442" s="364"/>
      <c r="F442" s="364"/>
      <c r="G442" s="364"/>
      <c r="H442" s="364"/>
      <c r="I442" s="364"/>
      <c r="J442" s="364"/>
      <c r="K442" s="364"/>
      <c r="L442" s="364"/>
      <c r="M442" s="364"/>
      <c r="N442" s="364"/>
      <c r="O442" s="364"/>
      <c r="P442" s="364"/>
      <c r="Q442" s="364"/>
      <c r="R442" s="364"/>
      <c r="S442" s="364"/>
      <c r="T442" s="364"/>
      <c r="U442" s="364"/>
      <c r="V442" s="364"/>
      <c r="W442" s="364"/>
      <c r="X442" s="364"/>
      <c r="Y442" s="364"/>
      <c r="Z442" s="364"/>
      <c r="AA442" s="364"/>
      <c r="AB442" s="364"/>
      <c r="AC442" s="364"/>
      <c r="AD442" s="364"/>
    </row>
    <row r="443" spans="1:30" s="351" customFormat="1">
      <c r="C443" s="364"/>
      <c r="D443" s="364"/>
      <c r="E443" s="364"/>
      <c r="F443" s="364"/>
      <c r="G443" s="364"/>
      <c r="H443" s="364"/>
      <c r="I443" s="364"/>
      <c r="J443" s="364"/>
      <c r="K443" s="364"/>
      <c r="L443" s="364"/>
      <c r="M443" s="364"/>
      <c r="N443" s="364"/>
      <c r="O443" s="364"/>
      <c r="P443" s="364"/>
      <c r="Q443" s="364"/>
      <c r="R443" s="364"/>
      <c r="S443" s="364"/>
      <c r="T443" s="364"/>
      <c r="U443" s="364"/>
      <c r="V443" s="364"/>
      <c r="W443" s="364"/>
      <c r="X443" s="364"/>
      <c r="Y443" s="364"/>
      <c r="Z443" s="364"/>
      <c r="AA443" s="364"/>
      <c r="AB443" s="364"/>
      <c r="AC443" s="364"/>
      <c r="AD443" s="364"/>
    </row>
    <row r="444" spans="1:30" s="351" customFormat="1">
      <c r="C444" s="364"/>
      <c r="D444" s="364"/>
      <c r="E444" s="364"/>
      <c r="F444" s="364"/>
      <c r="G444" s="364"/>
      <c r="H444" s="364"/>
      <c r="I444" s="364"/>
      <c r="J444" s="364"/>
      <c r="K444" s="364"/>
      <c r="L444" s="364"/>
      <c r="M444" s="364"/>
      <c r="N444" s="364"/>
      <c r="O444" s="364"/>
      <c r="P444" s="364"/>
      <c r="Q444" s="364"/>
      <c r="R444" s="364"/>
      <c r="S444" s="364"/>
      <c r="T444" s="364"/>
      <c r="U444" s="364"/>
      <c r="V444" s="364"/>
      <c r="W444" s="364"/>
      <c r="X444" s="364"/>
      <c r="Y444" s="364"/>
      <c r="Z444" s="364"/>
      <c r="AA444" s="364"/>
      <c r="AB444" s="364"/>
      <c r="AC444" s="364"/>
      <c r="AD444" s="364"/>
    </row>
    <row r="445" spans="1:30" s="351" customFormat="1">
      <c r="C445" s="364"/>
      <c r="D445" s="364"/>
      <c r="E445" s="364"/>
      <c r="F445" s="364"/>
      <c r="G445" s="364"/>
      <c r="H445" s="364"/>
      <c r="I445" s="364"/>
      <c r="J445" s="364"/>
      <c r="K445" s="364"/>
      <c r="L445" s="364"/>
      <c r="M445" s="364"/>
      <c r="N445" s="364"/>
      <c r="O445" s="364"/>
      <c r="P445" s="364"/>
      <c r="Q445" s="364"/>
      <c r="R445" s="364"/>
      <c r="S445" s="364"/>
      <c r="T445" s="364"/>
      <c r="U445" s="364"/>
      <c r="V445" s="364"/>
      <c r="W445" s="364"/>
      <c r="X445" s="364"/>
      <c r="Y445" s="364"/>
      <c r="Z445" s="364"/>
      <c r="AA445" s="364"/>
      <c r="AB445" s="364"/>
      <c r="AC445" s="364"/>
      <c r="AD445" s="364"/>
    </row>
    <row r="446" spans="1:30" s="351" customFormat="1">
      <c r="C446" s="364"/>
      <c r="D446" s="364"/>
      <c r="E446" s="364"/>
      <c r="F446" s="364"/>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row>
    <row r="447" spans="1:30" s="351" customFormat="1">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row>
    <row r="448" spans="1:30" s="351" customFormat="1">
      <c r="C448" s="364"/>
      <c r="D448" s="364"/>
      <c r="E448" s="364"/>
      <c r="F448" s="364"/>
      <c r="G448" s="364"/>
      <c r="H448" s="364"/>
      <c r="I448" s="364"/>
      <c r="J448" s="364"/>
      <c r="K448" s="364"/>
      <c r="L448" s="364"/>
      <c r="M448" s="364"/>
      <c r="N448" s="364"/>
      <c r="O448" s="364"/>
      <c r="P448" s="364"/>
      <c r="Q448" s="364"/>
      <c r="R448" s="364"/>
      <c r="S448" s="364"/>
      <c r="T448" s="364"/>
      <c r="U448" s="364"/>
      <c r="V448" s="364"/>
      <c r="W448" s="364"/>
      <c r="X448" s="364"/>
      <c r="Y448" s="364"/>
      <c r="Z448" s="364"/>
      <c r="AA448" s="364"/>
      <c r="AB448" s="364"/>
      <c r="AC448" s="364"/>
      <c r="AD448" s="364"/>
    </row>
    <row r="449" spans="3:30" s="351" customFormat="1">
      <c r="C449" s="364"/>
      <c r="D449" s="364"/>
      <c r="E449" s="364"/>
      <c r="F449" s="364"/>
      <c r="G449" s="364"/>
      <c r="H449" s="364"/>
      <c r="I449" s="364"/>
      <c r="J449" s="364"/>
      <c r="K449" s="364"/>
      <c r="L449" s="364"/>
      <c r="M449" s="364"/>
      <c r="N449" s="364"/>
      <c r="O449" s="364"/>
      <c r="P449" s="364"/>
      <c r="Q449" s="364"/>
      <c r="R449" s="364"/>
      <c r="S449" s="364"/>
      <c r="T449" s="364"/>
      <c r="U449" s="364"/>
      <c r="V449" s="364"/>
      <c r="W449" s="364"/>
      <c r="X449" s="364"/>
      <c r="Y449" s="364"/>
      <c r="Z449" s="364"/>
      <c r="AA449" s="364"/>
      <c r="AB449" s="364"/>
      <c r="AC449" s="364"/>
      <c r="AD449" s="364"/>
    </row>
    <row r="450" spans="3:30" s="351" customFormat="1">
      <c r="C450" s="364"/>
      <c r="D450" s="364"/>
      <c r="E450" s="364"/>
      <c r="F450" s="364"/>
      <c r="G450" s="364"/>
      <c r="H450" s="364"/>
      <c r="I450" s="364"/>
      <c r="J450" s="364"/>
      <c r="K450" s="364"/>
      <c r="L450" s="364"/>
      <c r="M450" s="364"/>
      <c r="N450" s="364"/>
      <c r="O450" s="364"/>
      <c r="P450" s="364"/>
      <c r="Q450" s="364"/>
      <c r="R450" s="364"/>
      <c r="S450" s="364"/>
      <c r="T450" s="364"/>
      <c r="U450" s="364"/>
      <c r="V450" s="364"/>
      <c r="W450" s="364"/>
      <c r="X450" s="364"/>
      <c r="Y450" s="364"/>
      <c r="Z450" s="364"/>
      <c r="AA450" s="364"/>
      <c r="AB450" s="364"/>
      <c r="AC450" s="364"/>
      <c r="AD450" s="364"/>
    </row>
    <row r="451" spans="3:30" s="351" customFormat="1">
      <c r="C451" s="364"/>
      <c r="D451" s="364"/>
      <c r="E451" s="364"/>
      <c r="F451" s="364"/>
      <c r="G451" s="364"/>
      <c r="H451" s="364"/>
      <c r="I451" s="364"/>
      <c r="J451" s="364"/>
      <c r="K451" s="364"/>
      <c r="L451" s="364"/>
      <c r="M451" s="364"/>
      <c r="N451" s="364"/>
      <c r="O451" s="364"/>
      <c r="P451" s="364"/>
      <c r="Q451" s="364"/>
      <c r="R451" s="364"/>
      <c r="S451" s="364"/>
      <c r="T451" s="364"/>
      <c r="U451" s="364"/>
      <c r="V451" s="364"/>
      <c r="W451" s="364"/>
      <c r="X451" s="364"/>
      <c r="Y451" s="364"/>
      <c r="Z451" s="364"/>
      <c r="AA451" s="364"/>
      <c r="AB451" s="364"/>
      <c r="AC451" s="364"/>
      <c r="AD451" s="364"/>
    </row>
    <row r="452" spans="3:30" s="351" customFormat="1">
      <c r="C452" s="364"/>
      <c r="D452" s="364"/>
      <c r="E452" s="364"/>
      <c r="F452" s="364"/>
      <c r="G452" s="364"/>
      <c r="H452" s="364"/>
      <c r="I452" s="364"/>
      <c r="J452" s="364"/>
      <c r="K452" s="364"/>
      <c r="L452" s="364"/>
      <c r="M452" s="364"/>
      <c r="N452" s="364"/>
      <c r="O452" s="364"/>
      <c r="P452" s="364"/>
      <c r="Q452" s="364"/>
      <c r="R452" s="364"/>
      <c r="S452" s="364"/>
      <c r="T452" s="364"/>
      <c r="U452" s="364"/>
      <c r="V452" s="364"/>
      <c r="W452" s="364"/>
      <c r="X452" s="364"/>
      <c r="Y452" s="364"/>
      <c r="Z452" s="364"/>
      <c r="AA452" s="364"/>
      <c r="AB452" s="364"/>
      <c r="AC452" s="364"/>
      <c r="AD452" s="364"/>
    </row>
    <row r="453" spans="3:30" s="351" customFormat="1">
      <c r="C453" s="364"/>
      <c r="D453" s="364"/>
      <c r="E453" s="364"/>
      <c r="F453" s="364"/>
      <c r="G453" s="364"/>
      <c r="H453" s="364"/>
      <c r="I453" s="364"/>
      <c r="J453" s="364"/>
      <c r="K453" s="364"/>
      <c r="L453" s="364"/>
      <c r="M453" s="364"/>
      <c r="N453" s="364"/>
      <c r="O453" s="364"/>
      <c r="P453" s="364"/>
      <c r="Q453" s="364"/>
      <c r="R453" s="364"/>
      <c r="S453" s="364"/>
      <c r="T453" s="364"/>
      <c r="U453" s="364"/>
      <c r="V453" s="364"/>
      <c r="W453" s="364"/>
      <c r="X453" s="364"/>
      <c r="Y453" s="364"/>
      <c r="Z453" s="364"/>
      <c r="AA453" s="364"/>
      <c r="AB453" s="364"/>
      <c r="AC453" s="364"/>
      <c r="AD453" s="364"/>
    </row>
    <row r="454" spans="3:30" s="351" customFormat="1">
      <c r="C454" s="364"/>
      <c r="D454" s="364"/>
      <c r="E454" s="364"/>
      <c r="F454" s="364"/>
      <c r="G454" s="364"/>
      <c r="H454" s="364"/>
      <c r="I454" s="364"/>
      <c r="J454" s="364"/>
      <c r="K454" s="364"/>
      <c r="L454" s="364"/>
      <c r="M454" s="364"/>
      <c r="N454" s="364"/>
      <c r="O454" s="364"/>
      <c r="P454" s="364"/>
      <c r="Q454" s="364"/>
      <c r="R454" s="364"/>
      <c r="S454" s="364"/>
      <c r="T454" s="364"/>
      <c r="U454" s="364"/>
      <c r="V454" s="364"/>
      <c r="W454" s="364"/>
      <c r="X454" s="364"/>
      <c r="Y454" s="364"/>
      <c r="Z454" s="364"/>
      <c r="AA454" s="364"/>
      <c r="AB454" s="364"/>
      <c r="AC454" s="364"/>
      <c r="AD454" s="364"/>
    </row>
    <row r="455" spans="3:30" s="351" customFormat="1">
      <c r="C455" s="364"/>
      <c r="D455" s="364"/>
      <c r="E455" s="364"/>
      <c r="F455" s="364"/>
      <c r="G455" s="364"/>
      <c r="H455" s="364"/>
      <c r="I455" s="364"/>
      <c r="J455" s="364"/>
      <c r="K455" s="364"/>
      <c r="L455" s="364"/>
      <c r="M455" s="364"/>
      <c r="N455" s="364"/>
      <c r="O455" s="364"/>
      <c r="P455" s="364"/>
      <c r="Q455" s="364"/>
      <c r="R455" s="364"/>
      <c r="S455" s="364"/>
      <c r="T455" s="364"/>
      <c r="U455" s="364"/>
      <c r="V455" s="364"/>
      <c r="W455" s="364"/>
      <c r="X455" s="364"/>
      <c r="Y455" s="364"/>
      <c r="Z455" s="364"/>
      <c r="AA455" s="364"/>
      <c r="AB455" s="364"/>
      <c r="AC455" s="364"/>
      <c r="AD455" s="364"/>
    </row>
    <row r="456" spans="3:30" s="351" customFormat="1">
      <c r="C456" s="364"/>
      <c r="D456" s="364"/>
      <c r="E456" s="364"/>
      <c r="F456" s="364"/>
      <c r="G456" s="364"/>
      <c r="H456" s="364"/>
      <c r="I456" s="364"/>
      <c r="J456" s="364"/>
      <c r="K456" s="364"/>
      <c r="L456" s="364"/>
      <c r="M456" s="364"/>
      <c r="N456" s="364"/>
      <c r="O456" s="364"/>
      <c r="P456" s="364"/>
      <c r="Q456" s="364"/>
      <c r="R456" s="364"/>
      <c r="S456" s="364"/>
      <c r="T456" s="364"/>
      <c r="U456" s="364"/>
      <c r="V456" s="364"/>
      <c r="W456" s="364"/>
      <c r="X456" s="364"/>
      <c r="Y456" s="364"/>
      <c r="Z456" s="364"/>
      <c r="AA456" s="364"/>
      <c r="AB456" s="364"/>
      <c r="AC456" s="364"/>
      <c r="AD456" s="364"/>
    </row>
    <row r="457" spans="3:30" s="351" customFormat="1">
      <c r="C457" s="364"/>
      <c r="D457" s="364"/>
      <c r="E457" s="364"/>
      <c r="F457" s="364"/>
      <c r="G457" s="364"/>
      <c r="H457" s="364"/>
      <c r="I457" s="364"/>
      <c r="J457" s="364"/>
      <c r="K457" s="364"/>
      <c r="L457" s="364"/>
      <c r="M457" s="364"/>
      <c r="N457" s="364"/>
      <c r="O457" s="364"/>
      <c r="P457" s="364"/>
      <c r="Q457" s="364"/>
      <c r="R457" s="364"/>
      <c r="S457" s="364"/>
      <c r="T457" s="364"/>
      <c r="U457" s="364"/>
      <c r="V457" s="364"/>
      <c r="W457" s="364"/>
      <c r="X457" s="364"/>
      <c r="Y457" s="364"/>
      <c r="Z457" s="364"/>
      <c r="AA457" s="364"/>
      <c r="AB457" s="364"/>
      <c r="AC457" s="364"/>
      <c r="AD457" s="364"/>
    </row>
    <row r="458" spans="3:30" s="351" customFormat="1">
      <c r="C458" s="364"/>
      <c r="D458" s="364"/>
      <c r="E458" s="364"/>
      <c r="F458" s="364"/>
      <c r="G458" s="364"/>
      <c r="H458" s="364"/>
      <c r="I458" s="364"/>
      <c r="J458" s="364"/>
      <c r="K458" s="364"/>
      <c r="L458" s="364"/>
      <c r="M458" s="364"/>
      <c r="N458" s="364"/>
      <c r="O458" s="364"/>
      <c r="P458" s="364"/>
      <c r="Q458" s="364"/>
      <c r="R458" s="364"/>
      <c r="S458" s="364"/>
      <c r="T458" s="364"/>
      <c r="U458" s="364"/>
      <c r="V458" s="364"/>
      <c r="W458" s="364"/>
      <c r="X458" s="364"/>
      <c r="Y458" s="364"/>
      <c r="Z458" s="364"/>
      <c r="AA458" s="364"/>
      <c r="AB458" s="364"/>
      <c r="AC458" s="364"/>
      <c r="AD458" s="364"/>
    </row>
    <row r="459" spans="3:30" s="351" customFormat="1">
      <c r="C459" s="364"/>
      <c r="D459" s="364"/>
      <c r="E459" s="364"/>
      <c r="F459" s="364"/>
      <c r="G459" s="364"/>
      <c r="H459" s="364"/>
      <c r="I459" s="364"/>
      <c r="J459" s="364"/>
      <c r="K459" s="364"/>
      <c r="L459" s="364"/>
      <c r="M459" s="364"/>
      <c r="N459" s="364"/>
      <c r="O459" s="364"/>
      <c r="P459" s="364"/>
      <c r="Q459" s="364"/>
      <c r="R459" s="364"/>
      <c r="S459" s="364"/>
      <c r="T459" s="364"/>
      <c r="U459" s="364"/>
      <c r="V459" s="364"/>
      <c r="W459" s="364"/>
      <c r="X459" s="364"/>
      <c r="Y459" s="364"/>
      <c r="Z459" s="364"/>
      <c r="AA459" s="364"/>
      <c r="AB459" s="364"/>
      <c r="AC459" s="364"/>
      <c r="AD459" s="364"/>
    </row>
    <row r="460" spans="3:30" s="351" customFormat="1">
      <c r="C460" s="364"/>
      <c r="D460" s="364"/>
      <c r="E460" s="364"/>
      <c r="F460" s="364"/>
      <c r="G460" s="364"/>
      <c r="H460" s="364"/>
      <c r="I460" s="364"/>
      <c r="J460" s="364"/>
      <c r="K460" s="364"/>
      <c r="L460" s="364"/>
      <c r="M460" s="364"/>
      <c r="N460" s="364"/>
      <c r="O460" s="364"/>
      <c r="P460" s="364"/>
      <c r="Q460" s="364"/>
      <c r="R460" s="364"/>
      <c r="S460" s="364"/>
      <c r="T460" s="364"/>
      <c r="U460" s="364"/>
      <c r="V460" s="364"/>
      <c r="W460" s="364"/>
      <c r="X460" s="364"/>
      <c r="Y460" s="364"/>
      <c r="Z460" s="364"/>
      <c r="AA460" s="364"/>
      <c r="AB460" s="364"/>
      <c r="AC460" s="364"/>
      <c r="AD460" s="364"/>
    </row>
    <row r="461" spans="3:30" s="351" customFormat="1">
      <c r="C461" s="364"/>
      <c r="D461" s="364"/>
      <c r="E461" s="364"/>
      <c r="F461" s="364"/>
      <c r="G461" s="364"/>
      <c r="H461" s="364"/>
      <c r="I461" s="364"/>
      <c r="J461" s="364"/>
      <c r="K461" s="364"/>
      <c r="L461" s="364"/>
      <c r="M461" s="364"/>
      <c r="N461" s="364"/>
      <c r="O461" s="364"/>
      <c r="P461" s="364"/>
      <c r="Q461" s="364"/>
      <c r="R461" s="364"/>
      <c r="S461" s="364"/>
      <c r="T461" s="364"/>
      <c r="U461" s="364"/>
      <c r="V461" s="364"/>
      <c r="W461" s="364"/>
      <c r="X461" s="364"/>
      <c r="Y461" s="364"/>
      <c r="Z461" s="364"/>
      <c r="AA461" s="364"/>
      <c r="AB461" s="364"/>
      <c r="AC461" s="364"/>
      <c r="AD461" s="364"/>
    </row>
    <row r="462" spans="3:30" s="351" customFormat="1">
      <c r="C462" s="364"/>
      <c r="D462" s="364"/>
      <c r="E462" s="364"/>
      <c r="F462" s="364"/>
      <c r="G462" s="364"/>
      <c r="H462" s="364"/>
      <c r="I462" s="364"/>
      <c r="J462" s="364"/>
      <c r="K462" s="364"/>
      <c r="L462" s="364"/>
      <c r="M462" s="364"/>
      <c r="N462" s="364"/>
      <c r="O462" s="364"/>
      <c r="P462" s="364"/>
      <c r="Q462" s="364"/>
      <c r="R462" s="364"/>
      <c r="S462" s="364"/>
      <c r="T462" s="364"/>
      <c r="U462" s="364"/>
      <c r="V462" s="364"/>
      <c r="W462" s="364"/>
      <c r="X462" s="364"/>
      <c r="Y462" s="364"/>
      <c r="Z462" s="364"/>
      <c r="AA462" s="364"/>
      <c r="AB462" s="364"/>
      <c r="AC462" s="364"/>
      <c r="AD462" s="364"/>
    </row>
    <row r="463" spans="3:30" s="351" customFormat="1">
      <c r="C463" s="364"/>
      <c r="D463" s="364"/>
      <c r="E463" s="364"/>
      <c r="F463" s="364"/>
      <c r="G463" s="364"/>
      <c r="H463" s="364"/>
      <c r="I463" s="364"/>
      <c r="J463" s="364"/>
      <c r="K463" s="364"/>
      <c r="L463" s="364"/>
      <c r="M463" s="364"/>
      <c r="N463" s="364"/>
      <c r="O463" s="364"/>
      <c r="P463" s="364"/>
      <c r="Q463" s="364"/>
      <c r="R463" s="364"/>
      <c r="S463" s="364"/>
      <c r="T463" s="364"/>
      <c r="U463" s="364"/>
      <c r="V463" s="364"/>
      <c r="W463" s="364"/>
      <c r="X463" s="364"/>
      <c r="Y463" s="364"/>
      <c r="Z463" s="364"/>
      <c r="AA463" s="364"/>
      <c r="AB463" s="364"/>
      <c r="AC463" s="364"/>
      <c r="AD463" s="364"/>
    </row>
    <row r="464" spans="3:30" s="351" customFormat="1">
      <c r="C464" s="364"/>
      <c r="D464" s="364"/>
      <c r="E464" s="364"/>
      <c r="F464" s="364"/>
      <c r="G464" s="364"/>
      <c r="H464" s="364"/>
      <c r="I464" s="364"/>
      <c r="J464" s="364"/>
      <c r="K464" s="364"/>
      <c r="L464" s="364"/>
      <c r="M464" s="364"/>
      <c r="N464" s="364"/>
      <c r="O464" s="364"/>
      <c r="P464" s="364"/>
      <c r="Q464" s="364"/>
      <c r="R464" s="364"/>
      <c r="S464" s="364"/>
      <c r="T464" s="364"/>
      <c r="U464" s="364"/>
      <c r="V464" s="364"/>
      <c r="W464" s="364"/>
      <c r="X464" s="364"/>
      <c r="Y464" s="364"/>
      <c r="Z464" s="364"/>
      <c r="AA464" s="364"/>
      <c r="AB464" s="364"/>
      <c r="AC464" s="364"/>
      <c r="AD464" s="364"/>
    </row>
    <row r="465" spans="3:30" s="351" customFormat="1">
      <c r="C465" s="364"/>
      <c r="D465" s="364"/>
      <c r="E465" s="364"/>
      <c r="F465" s="364"/>
      <c r="G465" s="364"/>
      <c r="H465" s="364"/>
      <c r="I465" s="364"/>
      <c r="J465" s="364"/>
      <c r="K465" s="364"/>
      <c r="L465" s="364"/>
      <c r="M465" s="364"/>
      <c r="N465" s="364"/>
      <c r="O465" s="364"/>
      <c r="P465" s="364"/>
      <c r="Q465" s="364"/>
      <c r="R465" s="364"/>
      <c r="S465" s="364"/>
      <c r="T465" s="364"/>
      <c r="U465" s="364"/>
      <c r="V465" s="364"/>
      <c r="W465" s="364"/>
      <c r="X465" s="364"/>
      <c r="Y465" s="364"/>
      <c r="Z465" s="364"/>
      <c r="AA465" s="364"/>
      <c r="AB465" s="364"/>
      <c r="AC465" s="364"/>
      <c r="AD465" s="364"/>
    </row>
    <row r="466" spans="3:30" s="351" customFormat="1">
      <c r="C466" s="364"/>
      <c r="D466" s="364"/>
      <c r="E466" s="364"/>
      <c r="F466" s="364"/>
      <c r="G466" s="364"/>
      <c r="H466" s="364"/>
      <c r="I466" s="364"/>
      <c r="J466" s="364"/>
      <c r="K466" s="364"/>
      <c r="L466" s="364"/>
      <c r="M466" s="364"/>
      <c r="N466" s="364"/>
      <c r="O466" s="364"/>
      <c r="P466" s="364"/>
      <c r="Q466" s="364"/>
      <c r="R466" s="364"/>
      <c r="S466" s="364"/>
      <c r="T466" s="364"/>
      <c r="U466" s="364"/>
      <c r="V466" s="364"/>
      <c r="W466" s="364"/>
      <c r="X466" s="364"/>
      <c r="Y466" s="364"/>
      <c r="Z466" s="364"/>
      <c r="AA466" s="364"/>
      <c r="AB466" s="364"/>
      <c r="AC466" s="364"/>
      <c r="AD466" s="364"/>
    </row>
    <row r="467" spans="3:30" s="351" customFormat="1">
      <c r="C467" s="364"/>
      <c r="D467" s="364"/>
      <c r="E467" s="364"/>
      <c r="F467" s="364"/>
      <c r="G467" s="364"/>
      <c r="H467" s="364"/>
      <c r="I467" s="364"/>
      <c r="J467" s="364"/>
      <c r="K467" s="364"/>
      <c r="L467" s="364"/>
      <c r="M467" s="364"/>
      <c r="N467" s="364"/>
      <c r="O467" s="364"/>
      <c r="P467" s="364"/>
      <c r="Q467" s="364"/>
      <c r="R467" s="364"/>
      <c r="S467" s="364"/>
      <c r="T467" s="364"/>
      <c r="U467" s="364"/>
      <c r="V467" s="364"/>
      <c r="W467" s="364"/>
      <c r="X467" s="364"/>
      <c r="Y467" s="364"/>
      <c r="Z467" s="364"/>
      <c r="AA467" s="364"/>
      <c r="AB467" s="364"/>
      <c r="AC467" s="364"/>
      <c r="AD467" s="364"/>
    </row>
    <row r="468" spans="3:30" s="351" customFormat="1">
      <c r="C468" s="364"/>
      <c r="D468" s="364"/>
      <c r="E468" s="364"/>
      <c r="F468" s="364"/>
      <c r="G468" s="364"/>
      <c r="H468" s="364"/>
      <c r="I468" s="364"/>
      <c r="J468" s="364"/>
      <c r="K468" s="364"/>
      <c r="L468" s="364"/>
      <c r="M468" s="364"/>
      <c r="N468" s="364"/>
      <c r="O468" s="364"/>
      <c r="P468" s="364"/>
      <c r="Q468" s="364"/>
      <c r="R468" s="364"/>
      <c r="S468" s="364"/>
      <c r="T468" s="364"/>
      <c r="U468" s="364"/>
      <c r="V468" s="364"/>
      <c r="W468" s="364"/>
      <c r="X468" s="364"/>
      <c r="Y468" s="364"/>
      <c r="Z468" s="364"/>
      <c r="AA468" s="364"/>
      <c r="AB468" s="364"/>
      <c r="AC468" s="364"/>
      <c r="AD468" s="364"/>
    </row>
    <row r="469" spans="3:30" s="351" customFormat="1">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row>
    <row r="470" spans="3:30" s="351" customFormat="1">
      <c r="C470" s="364"/>
      <c r="D470" s="364"/>
      <c r="E470" s="364"/>
      <c r="F470" s="364"/>
      <c r="G470" s="364"/>
      <c r="H470" s="364"/>
      <c r="I470" s="364"/>
      <c r="J470" s="364"/>
      <c r="K470" s="364"/>
      <c r="L470" s="364"/>
      <c r="M470" s="364"/>
      <c r="N470" s="364"/>
      <c r="O470" s="364"/>
      <c r="P470" s="364"/>
      <c r="Q470" s="364"/>
      <c r="R470" s="364"/>
      <c r="S470" s="364"/>
      <c r="T470" s="364"/>
      <c r="U470" s="364"/>
      <c r="V470" s="364"/>
      <c r="W470" s="364"/>
      <c r="X470" s="364"/>
      <c r="Y470" s="364"/>
      <c r="Z470" s="364"/>
      <c r="AA470" s="364"/>
      <c r="AB470" s="364"/>
      <c r="AC470" s="364"/>
      <c r="AD470" s="364"/>
    </row>
    <row r="471" spans="3:30" s="351" customFormat="1">
      <c r="C471" s="364"/>
      <c r="D471" s="364"/>
      <c r="E471" s="364"/>
      <c r="F471" s="364"/>
      <c r="G471" s="364"/>
      <c r="H471" s="364"/>
      <c r="I471" s="364"/>
      <c r="J471" s="364"/>
      <c r="K471" s="364"/>
      <c r="L471" s="364"/>
      <c r="M471" s="364"/>
      <c r="N471" s="364"/>
      <c r="O471" s="364"/>
      <c r="P471" s="364"/>
      <c r="Q471" s="364"/>
      <c r="R471" s="364"/>
      <c r="S471" s="364"/>
      <c r="T471" s="364"/>
      <c r="U471" s="364"/>
      <c r="V471" s="364"/>
      <c r="W471" s="364"/>
      <c r="X471" s="364"/>
      <c r="Y471" s="364"/>
      <c r="Z471" s="364"/>
      <c r="AA471" s="364"/>
      <c r="AB471" s="364"/>
      <c r="AC471" s="364"/>
      <c r="AD471" s="364"/>
    </row>
    <row r="472" spans="3:30" s="351" customFormat="1">
      <c r="C472" s="364"/>
      <c r="D472" s="364"/>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364"/>
      <c r="AA472" s="364"/>
      <c r="AB472" s="364"/>
      <c r="AC472" s="364"/>
      <c r="AD472" s="364"/>
    </row>
    <row r="473" spans="3:30" s="351" customFormat="1">
      <c r="C473" s="364"/>
      <c r="D473" s="364"/>
      <c r="E473" s="364"/>
      <c r="F473" s="364"/>
      <c r="G473" s="364"/>
      <c r="H473" s="364"/>
      <c r="I473" s="364"/>
      <c r="J473" s="364"/>
      <c r="K473" s="364"/>
      <c r="L473" s="364"/>
      <c r="M473" s="364"/>
      <c r="N473" s="364"/>
      <c r="O473" s="364"/>
      <c r="P473" s="364"/>
      <c r="Q473" s="364"/>
      <c r="R473" s="364"/>
      <c r="S473" s="364"/>
      <c r="T473" s="364"/>
      <c r="U473" s="364"/>
      <c r="V473" s="364"/>
      <c r="W473" s="364"/>
      <c r="X473" s="364"/>
      <c r="Y473" s="364"/>
      <c r="Z473" s="364"/>
      <c r="AA473" s="364"/>
      <c r="AB473" s="364"/>
      <c r="AC473" s="364"/>
      <c r="AD473" s="364"/>
    </row>
    <row r="474" spans="3:30" s="351" customFormat="1">
      <c r="C474" s="364"/>
      <c r="D474" s="364"/>
      <c r="E474" s="364"/>
      <c r="F474" s="364"/>
      <c r="G474" s="364"/>
      <c r="H474" s="364"/>
      <c r="I474" s="364"/>
      <c r="J474" s="364"/>
      <c r="K474" s="364"/>
      <c r="L474" s="364"/>
      <c r="M474" s="364"/>
      <c r="N474" s="364"/>
      <c r="O474" s="364"/>
      <c r="P474" s="364"/>
      <c r="Q474" s="364"/>
      <c r="R474" s="364"/>
      <c r="S474" s="364"/>
      <c r="T474" s="364"/>
      <c r="U474" s="364"/>
      <c r="V474" s="364"/>
      <c r="W474" s="364"/>
      <c r="X474" s="364"/>
      <c r="Y474" s="364"/>
      <c r="Z474" s="364"/>
      <c r="AA474" s="364"/>
      <c r="AB474" s="364"/>
      <c r="AC474" s="364"/>
      <c r="AD474" s="364"/>
    </row>
    <row r="475" spans="3:30" s="351" customFormat="1">
      <c r="C475" s="364"/>
      <c r="D475" s="364"/>
      <c r="E475" s="364"/>
      <c r="F475" s="364"/>
      <c r="G475" s="364"/>
      <c r="H475" s="364"/>
      <c r="I475" s="364"/>
      <c r="J475" s="364"/>
      <c r="K475" s="364"/>
      <c r="L475" s="364"/>
      <c r="M475" s="364"/>
      <c r="N475" s="364"/>
      <c r="O475" s="364"/>
      <c r="P475" s="364"/>
      <c r="Q475" s="364"/>
      <c r="R475" s="364"/>
      <c r="S475" s="364"/>
      <c r="T475" s="364"/>
      <c r="U475" s="364"/>
      <c r="V475" s="364"/>
      <c r="W475" s="364"/>
      <c r="X475" s="364"/>
      <c r="Y475" s="364"/>
      <c r="Z475" s="364"/>
      <c r="AA475" s="364"/>
      <c r="AB475" s="364"/>
      <c r="AC475" s="364"/>
      <c r="AD475" s="364"/>
    </row>
    <row r="476" spans="3:30" s="351" customFormat="1">
      <c r="C476" s="364"/>
      <c r="D476" s="364"/>
      <c r="E476" s="364"/>
      <c r="F476" s="364"/>
      <c r="G476" s="364"/>
      <c r="H476" s="364"/>
      <c r="I476" s="364"/>
      <c r="J476" s="364"/>
      <c r="K476" s="364"/>
      <c r="L476" s="364"/>
      <c r="M476" s="364"/>
      <c r="N476" s="364"/>
      <c r="O476" s="364"/>
      <c r="P476" s="364"/>
      <c r="Q476" s="364"/>
      <c r="R476" s="364"/>
      <c r="S476" s="364"/>
      <c r="T476" s="364"/>
      <c r="U476" s="364"/>
      <c r="V476" s="364"/>
      <c r="W476" s="364"/>
      <c r="X476" s="364"/>
      <c r="Y476" s="364"/>
      <c r="Z476" s="364"/>
      <c r="AA476" s="364"/>
      <c r="AB476" s="364"/>
      <c r="AC476" s="364"/>
      <c r="AD476" s="364"/>
    </row>
    <row r="477" spans="3:30" s="351" customFormat="1">
      <c r="C477" s="364"/>
      <c r="D477" s="364"/>
      <c r="E477" s="364"/>
      <c r="F477" s="364"/>
      <c r="G477" s="364"/>
      <c r="H477" s="364"/>
      <c r="I477" s="364"/>
      <c r="J477" s="364"/>
      <c r="K477" s="364"/>
      <c r="L477" s="364"/>
      <c r="M477" s="364"/>
      <c r="N477" s="364"/>
      <c r="O477" s="364"/>
      <c r="P477" s="364"/>
      <c r="Q477" s="364"/>
      <c r="R477" s="364"/>
      <c r="S477" s="364"/>
      <c r="T477" s="364"/>
      <c r="U477" s="364"/>
      <c r="V477" s="364"/>
      <c r="W477" s="364"/>
      <c r="X477" s="364"/>
      <c r="Y477" s="364"/>
      <c r="Z477" s="364"/>
      <c r="AA477" s="364"/>
      <c r="AB477" s="364"/>
      <c r="AC477" s="364"/>
      <c r="AD477" s="364"/>
    </row>
    <row r="478" spans="3:30" s="351" customFormat="1">
      <c r="C478" s="364"/>
      <c r="D478" s="364"/>
      <c r="E478" s="364"/>
      <c r="F478" s="364"/>
      <c r="G478" s="364"/>
      <c r="H478" s="364"/>
      <c r="I478" s="364"/>
      <c r="J478" s="364"/>
      <c r="K478" s="364"/>
      <c r="L478" s="364"/>
      <c r="M478" s="364"/>
      <c r="N478" s="364"/>
      <c r="O478" s="364"/>
      <c r="P478" s="364"/>
      <c r="Q478" s="364"/>
      <c r="R478" s="364"/>
      <c r="S478" s="364"/>
      <c r="T478" s="364"/>
      <c r="U478" s="364"/>
      <c r="V478" s="364"/>
      <c r="W478" s="364"/>
      <c r="X478" s="364"/>
      <c r="Y478" s="364"/>
      <c r="Z478" s="364"/>
      <c r="AA478" s="364"/>
      <c r="AB478" s="364"/>
      <c r="AC478" s="364"/>
      <c r="AD478" s="364"/>
    </row>
    <row r="479" spans="3:30" s="351" customFormat="1">
      <c r="C479" s="364"/>
      <c r="D479" s="364"/>
      <c r="E479" s="364"/>
      <c r="F479" s="364"/>
      <c r="G479" s="364"/>
      <c r="H479" s="364"/>
      <c r="I479" s="364"/>
      <c r="J479" s="364"/>
      <c r="K479" s="364"/>
      <c r="L479" s="364"/>
      <c r="M479" s="364"/>
      <c r="N479" s="364"/>
      <c r="O479" s="364"/>
      <c r="P479" s="364"/>
      <c r="Q479" s="364"/>
      <c r="R479" s="364"/>
      <c r="S479" s="364"/>
      <c r="T479" s="364"/>
      <c r="U479" s="364"/>
      <c r="V479" s="364"/>
      <c r="W479" s="364"/>
      <c r="X479" s="364"/>
      <c r="Y479" s="364"/>
      <c r="Z479" s="364"/>
      <c r="AA479" s="364"/>
      <c r="AB479" s="364"/>
      <c r="AC479" s="364"/>
      <c r="AD479" s="364"/>
    </row>
    <row r="480" spans="3:30" s="351" customFormat="1">
      <c r="C480" s="364"/>
      <c r="D480" s="364"/>
      <c r="E480" s="364"/>
      <c r="F480" s="364"/>
      <c r="G480" s="364"/>
      <c r="H480" s="364"/>
      <c r="I480" s="364"/>
      <c r="J480" s="364"/>
      <c r="K480" s="364"/>
      <c r="L480" s="364"/>
      <c r="M480" s="364"/>
      <c r="N480" s="364"/>
      <c r="O480" s="364"/>
      <c r="P480" s="364"/>
      <c r="Q480" s="364"/>
      <c r="R480" s="364"/>
      <c r="S480" s="364"/>
      <c r="T480" s="364"/>
      <c r="U480" s="364"/>
      <c r="V480" s="364"/>
      <c r="W480" s="364"/>
      <c r="X480" s="364"/>
      <c r="Y480" s="364"/>
      <c r="Z480" s="364"/>
      <c r="AA480" s="364"/>
      <c r="AB480" s="364"/>
      <c r="AC480" s="364"/>
      <c r="AD480" s="364"/>
    </row>
    <row r="481" spans="3:30" s="351" customFormat="1">
      <c r="C481" s="364"/>
      <c r="D481" s="364"/>
      <c r="E481" s="364"/>
      <c r="F481" s="364"/>
      <c r="G481" s="364"/>
      <c r="H481" s="364"/>
      <c r="I481" s="364"/>
      <c r="J481" s="364"/>
      <c r="K481" s="364"/>
      <c r="L481" s="364"/>
      <c r="M481" s="364"/>
      <c r="N481" s="364"/>
      <c r="O481" s="364"/>
      <c r="P481" s="364"/>
      <c r="Q481" s="364"/>
      <c r="R481" s="364"/>
      <c r="S481" s="364"/>
      <c r="T481" s="364"/>
      <c r="U481" s="364"/>
      <c r="V481" s="364"/>
      <c r="W481" s="364"/>
      <c r="X481" s="364"/>
      <c r="Y481" s="364"/>
      <c r="Z481" s="364"/>
      <c r="AA481" s="364"/>
      <c r="AB481" s="364"/>
      <c r="AC481" s="364"/>
      <c r="AD481" s="364"/>
    </row>
    <row r="482" spans="3:30" s="351" customFormat="1">
      <c r="C482" s="364"/>
      <c r="D482" s="364"/>
      <c r="E482" s="364"/>
      <c r="F482" s="364"/>
      <c r="G482" s="364"/>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row>
    <row r="483" spans="3:30" s="351" customFormat="1">
      <c r="C483" s="364"/>
      <c r="D483" s="364"/>
      <c r="E483" s="364"/>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row>
    <row r="484" spans="3:30" s="351" customFormat="1">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row>
    <row r="485" spans="3:30" s="351" customFormat="1">
      <c r="C485" s="364"/>
      <c r="D485" s="364"/>
      <c r="E485" s="364"/>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row>
    <row r="486" spans="3:30" s="351" customFormat="1">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row>
    <row r="487" spans="3:30" s="351" customFormat="1">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row>
    <row r="488" spans="3:30" s="351" customFormat="1">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row>
    <row r="489" spans="3:30" s="351" customFormat="1">
      <c r="C489" s="364"/>
      <c r="D489" s="364"/>
      <c r="E489" s="364"/>
      <c r="F489" s="364"/>
      <c r="G489" s="364"/>
      <c r="H489" s="364"/>
      <c r="I489" s="364"/>
      <c r="J489" s="364"/>
      <c r="K489" s="364"/>
      <c r="L489" s="364"/>
      <c r="M489" s="364"/>
      <c r="N489" s="364"/>
      <c r="O489" s="364"/>
      <c r="P489" s="364"/>
      <c r="Q489" s="364"/>
      <c r="R489" s="364"/>
      <c r="S489" s="364"/>
      <c r="T489" s="364"/>
      <c r="U489" s="364"/>
      <c r="V489" s="364"/>
      <c r="W489" s="364"/>
      <c r="X489" s="364"/>
      <c r="Y489" s="364"/>
      <c r="Z489" s="364"/>
      <c r="AA489" s="364"/>
      <c r="AB489" s="364"/>
      <c r="AC489" s="364"/>
      <c r="AD489" s="364"/>
    </row>
    <row r="490" spans="3:30" s="351" customFormat="1">
      <c r="C490" s="364"/>
      <c r="D490" s="364"/>
      <c r="E490" s="364"/>
      <c r="F490" s="364"/>
      <c r="G490" s="364"/>
      <c r="H490" s="364"/>
      <c r="I490" s="364"/>
      <c r="J490" s="364"/>
      <c r="K490" s="364"/>
      <c r="L490" s="364"/>
      <c r="M490" s="364"/>
      <c r="N490" s="364"/>
      <c r="O490" s="364"/>
      <c r="P490" s="364"/>
      <c r="Q490" s="364"/>
      <c r="R490" s="364"/>
      <c r="S490" s="364"/>
      <c r="T490" s="364"/>
      <c r="U490" s="364"/>
      <c r="V490" s="364"/>
      <c r="W490" s="364"/>
      <c r="X490" s="364"/>
      <c r="Y490" s="364"/>
      <c r="Z490" s="364"/>
      <c r="AA490" s="364"/>
      <c r="AB490" s="364"/>
      <c r="AC490" s="364"/>
      <c r="AD490" s="364"/>
    </row>
    <row r="491" spans="3:30" s="351" customFormat="1">
      <c r="C491" s="364"/>
      <c r="D491" s="364"/>
      <c r="E491" s="364"/>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row>
    <row r="492" spans="3:30" s="351" customFormat="1">
      <c r="C492" s="364"/>
      <c r="D492" s="364"/>
      <c r="E492" s="364"/>
      <c r="F492" s="364"/>
      <c r="G492" s="364"/>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row>
    <row r="493" spans="3:30" s="351" customFormat="1">
      <c r="C493" s="364"/>
      <c r="D493" s="364"/>
      <c r="E493" s="364"/>
      <c r="F493" s="364"/>
      <c r="G493" s="364"/>
      <c r="H493" s="364"/>
      <c r="I493" s="364"/>
      <c r="J493" s="364"/>
      <c r="K493" s="364"/>
      <c r="L493" s="364"/>
      <c r="M493" s="364"/>
      <c r="N493" s="364"/>
      <c r="O493" s="364"/>
      <c r="P493" s="364"/>
      <c r="Q493" s="364"/>
      <c r="R493" s="364"/>
      <c r="S493" s="364"/>
      <c r="T493" s="364"/>
      <c r="U493" s="364"/>
      <c r="V493" s="364"/>
      <c r="W493" s="364"/>
      <c r="X493" s="364"/>
      <c r="Y493" s="364"/>
      <c r="Z493" s="364"/>
      <c r="AA493" s="364"/>
      <c r="AB493" s="364"/>
      <c r="AC493" s="364"/>
      <c r="AD493" s="364"/>
    </row>
  </sheetData>
  <sheetProtection password="C6DB" sheet="1" objects="1" scenarios="1" formatCells="0" formatColumns="0" formatRows="0"/>
  <mergeCells count="17">
    <mergeCell ref="X8:AD9"/>
    <mergeCell ref="C9:I9"/>
    <mergeCell ref="J9:P9"/>
    <mergeCell ref="Q9:W9"/>
    <mergeCell ref="A2:P2"/>
    <mergeCell ref="A3:P3"/>
    <mergeCell ref="A4:P4"/>
    <mergeCell ref="Q89:W89"/>
    <mergeCell ref="B89:B90"/>
    <mergeCell ref="A8:A10"/>
    <mergeCell ref="B8:B10"/>
    <mergeCell ref="C8:W8"/>
    <mergeCell ref="B119:B120"/>
    <mergeCell ref="A84:B84"/>
    <mergeCell ref="A85:B85"/>
    <mergeCell ref="C89:I89"/>
    <mergeCell ref="J89:P89"/>
  </mergeCells>
  <dataValidations count="1">
    <dataValidation type="custom" allowBlank="1" showInputMessage="1" showErrorMessage="1" sqref="C119">
      <formula1>"80%, 20%"</formula1>
    </dataValidation>
  </dataValidations>
  <printOptions horizont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2" manualBreakCount="2">
    <brk id="43" max="29" man="1"/>
    <brk id="78" max="29" man="1"/>
  </rowBreaks>
  <colBreaks count="2" manualBreakCount="2">
    <brk id="16" max="116" man="1"/>
    <brk id="30" max="1048575" man="1"/>
  </colBreaks>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CF6C6"/>
  </sheetPr>
  <dimension ref="A1:AP499"/>
  <sheetViews>
    <sheetView view="pageBreakPreview" zoomScale="85" zoomScaleNormal="80" zoomScaleSheetLayoutView="85" workbookViewId="0">
      <pane xSplit="2" ySplit="10" topLeftCell="T44" activePane="bottomRight" state="frozen"/>
      <selection pane="topRight" activeCell="C1" sqref="C1"/>
      <selection pane="bottomLeft" activeCell="A11" sqref="A11"/>
      <selection pane="bottomRight" activeCell="U47" sqref="U47"/>
    </sheetView>
  </sheetViews>
  <sheetFormatPr defaultRowHeight="15"/>
  <cols>
    <col min="1" max="1" width="7.28515625" style="351" customWidth="1"/>
    <col min="2" max="2" width="49" style="351" customWidth="1"/>
    <col min="3" max="3" width="12.5703125" style="352" customWidth="1"/>
    <col min="4" max="4" width="11.85546875" style="352" customWidth="1"/>
    <col min="5" max="5" width="13.85546875" style="352" customWidth="1"/>
    <col min="6" max="6" width="14.85546875" style="352" customWidth="1"/>
    <col min="7" max="7" width="14.140625" style="352" customWidth="1"/>
    <col min="8" max="8" width="16.42578125" style="381" customWidth="1"/>
    <col min="9" max="9" width="14" style="352" customWidth="1"/>
    <col min="10" max="10" width="14.7109375" style="381" customWidth="1"/>
    <col min="11" max="11" width="14.140625" style="352" customWidth="1"/>
    <col min="12" max="13" width="13.85546875" style="352" customWidth="1"/>
    <col min="14" max="14" width="15" style="381" customWidth="1"/>
    <col min="15" max="15" width="12.28515625" style="352" customWidth="1"/>
    <col min="16" max="16" width="15" style="352" customWidth="1"/>
    <col min="17" max="17" width="14.28515625" style="352" customWidth="1"/>
    <col min="18" max="18" width="15" style="381" customWidth="1"/>
    <col min="19" max="19" width="14.28515625" style="352" customWidth="1"/>
    <col min="20" max="20" width="15" style="381" customWidth="1"/>
    <col min="21" max="21" width="14.28515625" style="352" customWidth="1"/>
    <col min="22" max="22" width="15" style="381" customWidth="1"/>
    <col min="23" max="23" width="14.140625" style="352" customWidth="1"/>
    <col min="24" max="24" width="15" style="381" customWidth="1"/>
    <col min="25" max="25" width="14.28515625" style="352" customWidth="1"/>
    <col min="26" max="26" width="15" style="381" customWidth="1"/>
    <col min="27" max="27" width="12.28515625" style="352" customWidth="1"/>
    <col min="28" max="28" width="11.42578125" style="352" bestFit="1" customWidth="1"/>
    <col min="29" max="29" width="12.7109375" style="352" customWidth="1"/>
    <col min="30" max="30" width="12.7109375" style="381" customWidth="1"/>
    <col min="31" max="31" width="13" style="352" customWidth="1"/>
    <col min="32" max="32" width="12.5703125" style="381" bestFit="1" customWidth="1"/>
    <col min="33" max="33" width="12.7109375" style="352" customWidth="1"/>
    <col min="34" max="34" width="12.7109375" style="381" customWidth="1"/>
    <col min="35" max="35" width="14.28515625" style="352" customWidth="1"/>
    <col min="36" max="36" width="15" style="381" bestFit="1" customWidth="1"/>
    <col min="37" max="37" width="12.7109375" style="352" customWidth="1"/>
    <col min="38" max="38" width="12" style="381" customWidth="1"/>
    <col min="39" max="39" width="9.140625" style="352"/>
    <col min="40" max="42" width="9.140625" style="351"/>
    <col min="43" max="16384" width="9.140625" style="259"/>
  </cols>
  <sheetData>
    <row r="1" spans="1:42">
      <c r="M1" s="489" t="s">
        <v>249</v>
      </c>
      <c r="AL1" s="489" t="s">
        <v>249</v>
      </c>
      <c r="AN1" s="297"/>
      <c r="AO1" s="297"/>
      <c r="AP1" s="297"/>
    </row>
    <row r="2" spans="1:42" ht="39" customHeight="1">
      <c r="A2" s="3647" t="s">
        <v>879</v>
      </c>
      <c r="B2" s="3647"/>
      <c r="C2" s="3647"/>
      <c r="D2" s="3647"/>
      <c r="E2" s="3647"/>
      <c r="F2" s="3647"/>
      <c r="G2" s="3647"/>
      <c r="H2" s="3647"/>
      <c r="I2" s="3647"/>
      <c r="J2" s="3647"/>
      <c r="K2" s="3647"/>
      <c r="L2" s="3647"/>
      <c r="M2" s="3647"/>
      <c r="N2" s="3647"/>
      <c r="O2" s="1772"/>
      <c r="P2" s="1772"/>
      <c r="Q2" s="1772"/>
      <c r="R2" s="1772"/>
      <c r="S2" s="1772"/>
      <c r="T2" s="1772"/>
      <c r="U2" s="1772"/>
      <c r="V2" s="1772"/>
      <c r="W2" s="1772"/>
      <c r="X2" s="1772"/>
      <c r="Y2" s="1772"/>
      <c r="Z2" s="1772"/>
      <c r="AA2" s="1772"/>
      <c r="AB2" s="1772"/>
      <c r="AC2" s="1772"/>
      <c r="AD2" s="1772"/>
      <c r="AE2" s="1772"/>
      <c r="AF2" s="1772"/>
      <c r="AG2" s="1772"/>
      <c r="AH2" s="1772"/>
      <c r="AI2" s="1772"/>
      <c r="AJ2" s="1772"/>
      <c r="AK2" s="1772"/>
      <c r="AL2" s="1772"/>
      <c r="AN2" s="185"/>
      <c r="AO2" s="297"/>
      <c r="AP2" s="297"/>
    </row>
    <row r="3" spans="1:42" ht="20.25">
      <c r="A3" s="3648" t="str">
        <f>'1. Анкетна карта'!A3:J3</f>
        <v>на "Водоснабдяване и канализация" ЕООД , гр. Благоевград</v>
      </c>
      <c r="B3" s="3648"/>
      <c r="C3" s="3648"/>
      <c r="D3" s="3648"/>
      <c r="E3" s="3648"/>
      <c r="F3" s="3648"/>
      <c r="G3" s="3648"/>
      <c r="H3" s="3648"/>
      <c r="I3" s="3648"/>
      <c r="J3" s="3648"/>
      <c r="K3" s="3648"/>
      <c r="L3" s="3648"/>
      <c r="M3" s="3648"/>
      <c r="N3" s="3648"/>
      <c r="O3" s="1186"/>
      <c r="P3" s="1186"/>
      <c r="Q3" s="1186"/>
      <c r="R3" s="1186"/>
      <c r="S3" s="1186"/>
      <c r="T3" s="1186"/>
      <c r="U3" s="1186"/>
      <c r="V3" s="1186"/>
      <c r="W3" s="1186"/>
      <c r="X3" s="1186"/>
      <c r="Y3" s="1186"/>
      <c r="Z3" s="1186"/>
      <c r="AA3" s="1186"/>
      <c r="AB3" s="1186"/>
      <c r="AC3" s="1186"/>
      <c r="AD3" s="1186"/>
      <c r="AE3" s="1186"/>
      <c r="AF3" s="1186"/>
      <c r="AG3" s="1186"/>
      <c r="AH3" s="1186"/>
      <c r="AI3" s="1186"/>
      <c r="AJ3" s="1186"/>
      <c r="AK3" s="1186"/>
      <c r="AL3" s="1186"/>
      <c r="AN3" s="185"/>
      <c r="AO3" s="297"/>
      <c r="AP3" s="297"/>
    </row>
    <row r="4" spans="1:42" ht="21" customHeight="1">
      <c r="A4" s="3648" t="str">
        <f>'1. Анкетна карта'!A4:J4</f>
        <v>ЕИК по БУЛСТАТ: 811047831</v>
      </c>
      <c r="B4" s="3648"/>
      <c r="C4" s="3648"/>
      <c r="D4" s="3648"/>
      <c r="E4" s="3648"/>
      <c r="F4" s="3648"/>
      <c r="G4" s="3648"/>
      <c r="H4" s="3648"/>
      <c r="I4" s="3648"/>
      <c r="J4" s="3648"/>
      <c r="K4" s="3648"/>
      <c r="L4" s="3648"/>
      <c r="M4" s="3648"/>
      <c r="N4" s="3648"/>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N4" s="185"/>
      <c r="AO4" s="297"/>
      <c r="AP4" s="297"/>
    </row>
    <row r="5" spans="1:42" ht="21" customHeight="1">
      <c r="A5" s="610"/>
      <c r="B5" s="610"/>
      <c r="C5" s="3649"/>
      <c r="D5" s="3649"/>
      <c r="E5" s="3649"/>
      <c r="F5" s="3649"/>
      <c r="G5" s="3649"/>
      <c r="H5" s="3649"/>
      <c r="I5" s="3649"/>
      <c r="J5" s="3649"/>
      <c r="K5" s="3649"/>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N5" s="185"/>
      <c r="AO5" s="297"/>
      <c r="AP5" s="297"/>
    </row>
    <row r="6" spans="1:42" ht="21" customHeight="1">
      <c r="A6" s="610"/>
      <c r="B6" s="610"/>
      <c r="C6" s="3649"/>
      <c r="D6" s="3649"/>
      <c r="E6" s="3649"/>
      <c r="F6" s="3649"/>
      <c r="G6" s="3649"/>
      <c r="H6" s="3649"/>
      <c r="I6" s="3649"/>
      <c r="J6" s="3649"/>
      <c r="K6" s="3649"/>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N6" s="185"/>
      <c r="AO6" s="297"/>
      <c r="AP6" s="297"/>
    </row>
    <row r="7" spans="1:42" ht="21" customHeight="1" thickBot="1">
      <c r="A7" s="610"/>
      <c r="B7" s="610"/>
      <c r="C7" s="610"/>
      <c r="D7" s="663"/>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N7" s="185"/>
      <c r="AO7" s="297"/>
      <c r="AP7" s="297"/>
    </row>
    <row r="8" spans="1:42" s="1075" customFormat="1" ht="15.75" customHeight="1" thickBot="1">
      <c r="A8" s="3597" t="s">
        <v>1</v>
      </c>
      <c r="B8" s="3595" t="s">
        <v>286</v>
      </c>
      <c r="C8" s="3621" t="s">
        <v>270</v>
      </c>
      <c r="D8" s="3621"/>
      <c r="E8" s="3621"/>
      <c r="F8" s="3621"/>
      <c r="G8" s="3621"/>
      <c r="H8" s="3621"/>
      <c r="I8" s="3621"/>
      <c r="J8" s="3621"/>
      <c r="K8" s="3621"/>
      <c r="L8" s="3621"/>
      <c r="M8" s="3621"/>
      <c r="N8" s="3621"/>
      <c r="O8" s="3621" t="s">
        <v>271</v>
      </c>
      <c r="P8" s="3621"/>
      <c r="Q8" s="3621"/>
      <c r="R8" s="3621"/>
      <c r="S8" s="3621"/>
      <c r="T8" s="3621"/>
      <c r="U8" s="3621"/>
      <c r="V8" s="3621"/>
      <c r="W8" s="3621"/>
      <c r="X8" s="3621"/>
      <c r="Y8" s="3621"/>
      <c r="Z8" s="3621"/>
      <c r="AA8" s="3621" t="s">
        <v>272</v>
      </c>
      <c r="AB8" s="3621"/>
      <c r="AC8" s="3621"/>
      <c r="AD8" s="3621"/>
      <c r="AE8" s="3621"/>
      <c r="AF8" s="3621"/>
      <c r="AG8" s="3621"/>
      <c r="AH8" s="3621"/>
      <c r="AI8" s="3621"/>
      <c r="AJ8" s="3621"/>
      <c r="AK8" s="3621"/>
      <c r="AL8" s="3621"/>
      <c r="AM8" s="365"/>
      <c r="AN8" s="1073"/>
      <c r="AO8" s="1074"/>
      <c r="AP8" s="1074"/>
    </row>
    <row r="9" spans="1:42" s="1075" customFormat="1">
      <c r="A9" s="3644"/>
      <c r="B9" s="3642"/>
      <c r="C9" s="2004" t="str">
        <f>'Приложение '!$G12</f>
        <v>2015 г.</v>
      </c>
      <c r="D9" s="2006" t="str">
        <f>'Приложение '!$G13</f>
        <v>2016 г.</v>
      </c>
      <c r="E9" s="3637" t="str">
        <f>'Приложение '!$G14</f>
        <v>2017 г.</v>
      </c>
      <c r="F9" s="3638"/>
      <c r="G9" s="3639" t="str">
        <f>'Приложение '!$G15</f>
        <v>2018 г.</v>
      </c>
      <c r="H9" s="3640"/>
      <c r="I9" s="3637" t="str">
        <f>'Приложение '!$G16</f>
        <v>2019 г.</v>
      </c>
      <c r="J9" s="3638"/>
      <c r="K9" s="3639" t="str">
        <f>'Приложение '!$G17</f>
        <v>2020 г.</v>
      </c>
      <c r="L9" s="3640"/>
      <c r="M9" s="3637" t="str">
        <f>'Приложение '!$G18</f>
        <v>2021 г.</v>
      </c>
      <c r="N9" s="3641"/>
      <c r="O9" s="2004" t="str">
        <f>'Приложение '!$G12</f>
        <v>2015 г.</v>
      </c>
      <c r="P9" s="2389" t="str">
        <f>'Приложение '!$G13</f>
        <v>2016 г.</v>
      </c>
      <c r="Q9" s="3637" t="str">
        <f>'Приложение '!$G14</f>
        <v>2017 г.</v>
      </c>
      <c r="R9" s="3638"/>
      <c r="S9" s="3637" t="str">
        <f>'Приложение '!$G15</f>
        <v>2018 г.</v>
      </c>
      <c r="T9" s="3638"/>
      <c r="U9" s="3639" t="str">
        <f>'Приложение '!$G16</f>
        <v>2019 г.</v>
      </c>
      <c r="V9" s="3640"/>
      <c r="W9" s="3637" t="str">
        <f>'Приложение '!$G17</f>
        <v>2020 г.</v>
      </c>
      <c r="X9" s="3638"/>
      <c r="Y9" s="3639" t="str">
        <f>'Приложение '!$G18</f>
        <v>2021 г.</v>
      </c>
      <c r="Z9" s="3646"/>
      <c r="AA9" s="2004" t="str">
        <f>'Приложение '!$G12</f>
        <v>2015 г.</v>
      </c>
      <c r="AB9" s="2006" t="str">
        <f>'Приложение '!$G13</f>
        <v>2016 г.</v>
      </c>
      <c r="AC9" s="3637" t="str">
        <f>'Приложение '!$G14</f>
        <v>2017 г.</v>
      </c>
      <c r="AD9" s="3638"/>
      <c r="AE9" s="3639" t="str">
        <f>'Приложение '!$G15</f>
        <v>2018 г.</v>
      </c>
      <c r="AF9" s="3640"/>
      <c r="AG9" s="3637" t="str">
        <f>'Приложение '!$G16</f>
        <v>2019 г.</v>
      </c>
      <c r="AH9" s="3638"/>
      <c r="AI9" s="3639" t="str">
        <f>'Приложение '!$G17</f>
        <v>2020 г.</v>
      </c>
      <c r="AJ9" s="3640"/>
      <c r="AK9" s="3637" t="str">
        <f>'Приложение '!$G18</f>
        <v>2021 г.</v>
      </c>
      <c r="AL9" s="3641"/>
      <c r="AM9" s="365"/>
      <c r="AN9" s="1073"/>
      <c r="AO9" s="1074"/>
      <c r="AP9" s="1074"/>
    </row>
    <row r="10" spans="1:42" s="338" customFormat="1" ht="25.5" customHeight="1" thickBot="1">
      <c r="A10" s="3645"/>
      <c r="B10" s="3643"/>
      <c r="C10" s="2005"/>
      <c r="D10" s="2007" t="s">
        <v>263</v>
      </c>
      <c r="E10" s="2008" t="s">
        <v>1212</v>
      </c>
      <c r="F10" s="2003" t="s">
        <v>1213</v>
      </c>
      <c r="G10" s="2381" t="s">
        <v>1212</v>
      </c>
      <c r="H10" s="2384" t="s">
        <v>1213</v>
      </c>
      <c r="I10" s="2008" t="s">
        <v>1212</v>
      </c>
      <c r="J10" s="2003" t="s">
        <v>1213</v>
      </c>
      <c r="K10" s="2381" t="s">
        <v>1212</v>
      </c>
      <c r="L10" s="2384" t="s">
        <v>1213</v>
      </c>
      <c r="M10" s="2008" t="s">
        <v>1212</v>
      </c>
      <c r="N10" s="2003" t="s">
        <v>1213</v>
      </c>
      <c r="O10" s="2005"/>
      <c r="P10" s="2005" t="s">
        <v>263</v>
      </c>
      <c r="Q10" s="2008" t="s">
        <v>1212</v>
      </c>
      <c r="R10" s="2003" t="s">
        <v>1213</v>
      </c>
      <c r="S10" s="2008" t="s">
        <v>1212</v>
      </c>
      <c r="T10" s="2003" t="s">
        <v>1213</v>
      </c>
      <c r="U10" s="2381" t="s">
        <v>1212</v>
      </c>
      <c r="V10" s="2384" t="s">
        <v>1213</v>
      </c>
      <c r="W10" s="2008" t="s">
        <v>1212</v>
      </c>
      <c r="X10" s="2003" t="s">
        <v>1213</v>
      </c>
      <c r="Y10" s="2381" t="s">
        <v>1212</v>
      </c>
      <c r="Z10" s="2384" t="s">
        <v>1213</v>
      </c>
      <c r="AA10" s="2005"/>
      <c r="AB10" s="2007" t="s">
        <v>263</v>
      </c>
      <c r="AC10" s="2008" t="s">
        <v>1212</v>
      </c>
      <c r="AD10" s="2003" t="s">
        <v>1213</v>
      </c>
      <c r="AE10" s="2381" t="s">
        <v>1212</v>
      </c>
      <c r="AF10" s="2384" t="s">
        <v>1213</v>
      </c>
      <c r="AG10" s="2008" t="s">
        <v>1212</v>
      </c>
      <c r="AH10" s="2003" t="s">
        <v>1213</v>
      </c>
      <c r="AI10" s="2381" t="s">
        <v>1212</v>
      </c>
      <c r="AJ10" s="2384" t="s">
        <v>1213</v>
      </c>
      <c r="AK10" s="2008" t="s">
        <v>1212</v>
      </c>
      <c r="AL10" s="2003" t="s">
        <v>1213</v>
      </c>
      <c r="AM10" s="352"/>
      <c r="AN10" s="185"/>
      <c r="AO10" s="297"/>
      <c r="AP10" s="297"/>
    </row>
    <row r="11" spans="1:42" ht="15.75" thickBot="1">
      <c r="A11" s="1030" t="s">
        <v>193</v>
      </c>
      <c r="B11" s="1031" t="s">
        <v>289</v>
      </c>
      <c r="C11" s="2371">
        <f>SUM(C12:C27)-C12-C18-C24</f>
        <v>1314</v>
      </c>
      <c r="D11" s="2375">
        <f t="shared" ref="D11:AA11" si="0">SUM(D12:D27)-D12-D18-D24</f>
        <v>1276</v>
      </c>
      <c r="E11" s="2372">
        <f t="shared" si="0"/>
        <v>66</v>
      </c>
      <c r="F11" s="2373">
        <f t="shared" si="0"/>
        <v>0</v>
      </c>
      <c r="G11" s="2374">
        <f t="shared" si="0"/>
        <v>45.244999999999997</v>
      </c>
      <c r="H11" s="2385">
        <f t="shared" si="0"/>
        <v>-39.5</v>
      </c>
      <c r="I11" s="2372">
        <f t="shared" si="0"/>
        <v>102.316</v>
      </c>
      <c r="J11" s="2373">
        <f t="shared" si="0"/>
        <v>-82</v>
      </c>
      <c r="K11" s="2374">
        <f t="shared" si="0"/>
        <v>760.42200000000003</v>
      </c>
      <c r="L11" s="2385">
        <f t="shared" si="0"/>
        <v>-106</v>
      </c>
      <c r="M11" s="2372">
        <f t="shared" si="0"/>
        <v>718.58300000000008</v>
      </c>
      <c r="N11" s="2373">
        <f t="shared" si="0"/>
        <v>-160</v>
      </c>
      <c r="O11" s="2371">
        <f t="shared" si="0"/>
        <v>85.271999999999991</v>
      </c>
      <c r="P11" s="2371">
        <f>SUM(P12:P27)-P12-P18-P24</f>
        <v>86.227000000000004</v>
      </c>
      <c r="Q11" s="2372">
        <f t="shared" ref="Q11:Z11" si="1">SUM(Q12:Q27)-Q12-Q18-Q24</f>
        <v>0</v>
      </c>
      <c r="R11" s="2373">
        <f t="shared" si="1"/>
        <v>-4.4999999999999998E-2</v>
      </c>
      <c r="S11" s="2372">
        <f t="shared" si="1"/>
        <v>0</v>
      </c>
      <c r="T11" s="2373">
        <f t="shared" si="1"/>
        <v>-4.4999999999999998E-2</v>
      </c>
      <c r="U11" s="2374">
        <f t="shared" si="1"/>
        <v>0</v>
      </c>
      <c r="V11" s="2385">
        <f t="shared" si="1"/>
        <v>-4.9000000000000002E-2</v>
      </c>
      <c r="W11" s="2372">
        <f t="shared" si="1"/>
        <v>22</v>
      </c>
      <c r="X11" s="2373">
        <f t="shared" si="1"/>
        <v>-1.0489999999999999</v>
      </c>
      <c r="Y11" s="2374">
        <f t="shared" si="1"/>
        <v>22</v>
      </c>
      <c r="Z11" s="2385">
        <f t="shared" si="1"/>
        <v>-5.0490000000000004</v>
      </c>
      <c r="AA11" s="2371">
        <f t="shared" si="0"/>
        <v>384</v>
      </c>
      <c r="AB11" s="2391">
        <f>SUM(AB12:AB27)-AB12-AB18-AB24</f>
        <v>364</v>
      </c>
      <c r="AC11" s="2372">
        <f t="shared" ref="AC11:AL11" si="2">SUM(AC12:AC27)-AC12-AC18-AC24</f>
        <v>12</v>
      </c>
      <c r="AD11" s="2373">
        <f t="shared" si="2"/>
        <v>0</v>
      </c>
      <c r="AE11" s="2374">
        <f t="shared" si="2"/>
        <v>35.42</v>
      </c>
      <c r="AF11" s="2385">
        <f t="shared" si="2"/>
        <v>-1</v>
      </c>
      <c r="AG11" s="2372">
        <f t="shared" si="2"/>
        <v>313.45999999999998</v>
      </c>
      <c r="AH11" s="2373">
        <f t="shared" si="2"/>
        <v>-10</v>
      </c>
      <c r="AI11" s="2374">
        <f t="shared" si="2"/>
        <v>368.5</v>
      </c>
      <c r="AJ11" s="2385">
        <f t="shared" si="2"/>
        <v>-10</v>
      </c>
      <c r="AK11" s="2372">
        <f t="shared" si="2"/>
        <v>353.6</v>
      </c>
      <c r="AL11" s="2373">
        <f t="shared" si="2"/>
        <v>-7</v>
      </c>
      <c r="AN11" s="185"/>
      <c r="AO11" s="297"/>
      <c r="AP11" s="297"/>
    </row>
    <row r="12" spans="1:42">
      <c r="A12" s="1036" t="s">
        <v>98</v>
      </c>
      <c r="B12" s="1037" t="s">
        <v>290</v>
      </c>
      <c r="C12" s="2376">
        <f>SUM(C13:C16)</f>
        <v>81</v>
      </c>
      <c r="D12" s="2377">
        <f t="shared" ref="D12:AL12" si="3">SUM(D13:D16)</f>
        <v>66</v>
      </c>
      <c r="E12" s="1038">
        <f>SUM(E13:E16)</f>
        <v>0</v>
      </c>
      <c r="F12" s="1039">
        <f t="shared" si="3"/>
        <v>0</v>
      </c>
      <c r="G12" s="2382">
        <f t="shared" si="3"/>
        <v>0</v>
      </c>
      <c r="H12" s="2386">
        <f t="shared" si="3"/>
        <v>0</v>
      </c>
      <c r="I12" s="1038">
        <f t="shared" si="3"/>
        <v>0</v>
      </c>
      <c r="J12" s="1039">
        <f t="shared" si="3"/>
        <v>0</v>
      </c>
      <c r="K12" s="2382">
        <f t="shared" si="3"/>
        <v>11</v>
      </c>
      <c r="L12" s="2386">
        <f t="shared" si="3"/>
        <v>0</v>
      </c>
      <c r="M12" s="1038">
        <f t="shared" si="3"/>
        <v>11</v>
      </c>
      <c r="N12" s="1039">
        <f t="shared" si="3"/>
        <v>0</v>
      </c>
      <c r="O12" s="2376">
        <f t="shared" si="3"/>
        <v>0</v>
      </c>
      <c r="P12" s="2390">
        <f t="shared" si="3"/>
        <v>0</v>
      </c>
      <c r="Q12" s="1038">
        <f t="shared" si="3"/>
        <v>0</v>
      </c>
      <c r="R12" s="1039">
        <f t="shared" si="3"/>
        <v>0</v>
      </c>
      <c r="S12" s="1038">
        <f t="shared" si="3"/>
        <v>0</v>
      </c>
      <c r="T12" s="1039">
        <f t="shared" si="3"/>
        <v>0</v>
      </c>
      <c r="U12" s="2382">
        <f t="shared" si="3"/>
        <v>0</v>
      </c>
      <c r="V12" s="2386">
        <f t="shared" si="3"/>
        <v>0</v>
      </c>
      <c r="W12" s="1038">
        <f t="shared" si="3"/>
        <v>0</v>
      </c>
      <c r="X12" s="1039">
        <f t="shared" si="3"/>
        <v>0</v>
      </c>
      <c r="Y12" s="2382">
        <f t="shared" si="3"/>
        <v>0</v>
      </c>
      <c r="Z12" s="2386">
        <f t="shared" si="3"/>
        <v>0</v>
      </c>
      <c r="AA12" s="2376">
        <f>SUM(AA13:AA16)</f>
        <v>16</v>
      </c>
      <c r="AB12" s="2392">
        <f t="shared" si="3"/>
        <v>16</v>
      </c>
      <c r="AC12" s="1038">
        <f t="shared" si="3"/>
        <v>0</v>
      </c>
      <c r="AD12" s="1039">
        <f t="shared" si="3"/>
        <v>0</v>
      </c>
      <c r="AE12" s="2382">
        <f t="shared" si="3"/>
        <v>0</v>
      </c>
      <c r="AF12" s="2386">
        <f t="shared" si="3"/>
        <v>0</v>
      </c>
      <c r="AG12" s="1038">
        <f t="shared" si="3"/>
        <v>0</v>
      </c>
      <c r="AH12" s="1039">
        <f t="shared" si="3"/>
        <v>0</v>
      </c>
      <c r="AI12" s="2382">
        <f t="shared" si="3"/>
        <v>0</v>
      </c>
      <c r="AJ12" s="2386">
        <f t="shared" si="3"/>
        <v>0</v>
      </c>
      <c r="AK12" s="1038">
        <f t="shared" si="3"/>
        <v>0</v>
      </c>
      <c r="AL12" s="1039">
        <f t="shared" si="3"/>
        <v>0</v>
      </c>
      <c r="AN12" s="185"/>
      <c r="AO12" s="297"/>
      <c r="AP12" s="297"/>
    </row>
    <row r="13" spans="1:42">
      <c r="A13" s="1036" t="s">
        <v>484</v>
      </c>
      <c r="B13" s="1047" t="s">
        <v>291</v>
      </c>
      <c r="C13" s="2169">
        <v>33</v>
      </c>
      <c r="D13" s="2378">
        <v>33</v>
      </c>
      <c r="E13" s="780"/>
      <c r="F13" s="790"/>
      <c r="G13" s="794"/>
      <c r="H13" s="2342"/>
      <c r="I13" s="780"/>
      <c r="J13" s="790"/>
      <c r="K13" s="794">
        <v>5</v>
      </c>
      <c r="L13" s="2342"/>
      <c r="M13" s="780">
        <v>5</v>
      </c>
      <c r="N13" s="790"/>
      <c r="O13" s="2169"/>
      <c r="P13" s="2169"/>
      <c r="Q13" s="780"/>
      <c r="R13" s="790"/>
      <c r="S13" s="780"/>
      <c r="T13" s="790"/>
      <c r="U13" s="794"/>
      <c r="V13" s="2342"/>
      <c r="W13" s="780"/>
      <c r="X13" s="790"/>
      <c r="Y13" s="794"/>
      <c r="Z13" s="2342"/>
      <c r="AA13" s="2169"/>
      <c r="AB13" s="2378"/>
      <c r="AC13" s="780"/>
      <c r="AD13" s="790"/>
      <c r="AE13" s="794"/>
      <c r="AF13" s="2342"/>
      <c r="AG13" s="780"/>
      <c r="AH13" s="790"/>
      <c r="AI13" s="794"/>
      <c r="AJ13" s="2342"/>
      <c r="AK13" s="780"/>
      <c r="AL13" s="790"/>
      <c r="AN13" s="185"/>
      <c r="AO13" s="297"/>
      <c r="AP13" s="297"/>
    </row>
    <row r="14" spans="1:42">
      <c r="A14" s="1036" t="s">
        <v>485</v>
      </c>
      <c r="B14" s="1040" t="s">
        <v>292</v>
      </c>
      <c r="C14" s="2169">
        <v>8</v>
      </c>
      <c r="D14" s="2378">
        <v>8</v>
      </c>
      <c r="E14" s="780"/>
      <c r="F14" s="790"/>
      <c r="G14" s="794"/>
      <c r="H14" s="2342"/>
      <c r="I14" s="780"/>
      <c r="J14" s="790"/>
      <c r="K14" s="794"/>
      <c r="L14" s="2342"/>
      <c r="M14" s="780"/>
      <c r="N14" s="790"/>
      <c r="O14" s="2169"/>
      <c r="P14" s="2169"/>
      <c r="Q14" s="780"/>
      <c r="R14" s="790"/>
      <c r="S14" s="780"/>
      <c r="T14" s="790"/>
      <c r="U14" s="794"/>
      <c r="V14" s="2342"/>
      <c r="W14" s="780"/>
      <c r="X14" s="790"/>
      <c r="Y14" s="794"/>
      <c r="Z14" s="2342"/>
      <c r="AA14" s="2169"/>
      <c r="AB14" s="2378"/>
      <c r="AC14" s="780"/>
      <c r="AD14" s="790"/>
      <c r="AE14" s="794"/>
      <c r="AF14" s="2342"/>
      <c r="AG14" s="780"/>
      <c r="AH14" s="790"/>
      <c r="AI14" s="794"/>
      <c r="AJ14" s="2342"/>
      <c r="AK14" s="780"/>
      <c r="AL14" s="790"/>
      <c r="AN14" s="185"/>
      <c r="AO14" s="297"/>
      <c r="AP14" s="297"/>
    </row>
    <row r="15" spans="1:42">
      <c r="A15" s="1036" t="s">
        <v>486</v>
      </c>
      <c r="B15" s="1040" t="s">
        <v>293</v>
      </c>
      <c r="C15" s="2169"/>
      <c r="D15" s="2378"/>
      <c r="E15" s="780"/>
      <c r="F15" s="790"/>
      <c r="G15" s="794"/>
      <c r="H15" s="2342"/>
      <c r="I15" s="780"/>
      <c r="J15" s="790"/>
      <c r="K15" s="794"/>
      <c r="L15" s="2342"/>
      <c r="M15" s="780"/>
      <c r="N15" s="790"/>
      <c r="O15" s="2169"/>
      <c r="P15" s="2169"/>
      <c r="Q15" s="780"/>
      <c r="R15" s="790"/>
      <c r="S15" s="780"/>
      <c r="T15" s="790"/>
      <c r="U15" s="794"/>
      <c r="V15" s="2342"/>
      <c r="W15" s="780"/>
      <c r="X15" s="790"/>
      <c r="Y15" s="794"/>
      <c r="Z15" s="2342"/>
      <c r="AA15" s="2169">
        <v>16</v>
      </c>
      <c r="AB15" s="2378">
        <v>16</v>
      </c>
      <c r="AC15" s="780"/>
      <c r="AD15" s="790"/>
      <c r="AE15" s="794"/>
      <c r="AF15" s="2342"/>
      <c r="AG15" s="780"/>
      <c r="AH15" s="790"/>
      <c r="AI15" s="794"/>
      <c r="AJ15" s="2342"/>
      <c r="AK15" s="780"/>
      <c r="AL15" s="790"/>
      <c r="AN15" s="185"/>
      <c r="AO15" s="297"/>
      <c r="AP15" s="297"/>
    </row>
    <row r="16" spans="1:42">
      <c r="A16" s="1036" t="s">
        <v>487</v>
      </c>
      <c r="B16" s="1040" t="s">
        <v>294</v>
      </c>
      <c r="C16" s="2169">
        <v>40</v>
      </c>
      <c r="D16" s="2378">
        <v>25</v>
      </c>
      <c r="E16" s="780"/>
      <c r="F16" s="790"/>
      <c r="G16" s="794"/>
      <c r="H16" s="2342"/>
      <c r="I16" s="780"/>
      <c r="J16" s="790"/>
      <c r="K16" s="794">
        <v>6</v>
      </c>
      <c r="L16" s="2342"/>
      <c r="M16" s="780">
        <v>6</v>
      </c>
      <c r="N16" s="790"/>
      <c r="O16" s="2169"/>
      <c r="P16" s="2169"/>
      <c r="Q16" s="780"/>
      <c r="R16" s="790"/>
      <c r="S16" s="780"/>
      <c r="T16" s="790"/>
      <c r="U16" s="794"/>
      <c r="V16" s="2342"/>
      <c r="W16" s="780"/>
      <c r="X16" s="790"/>
      <c r="Y16" s="794"/>
      <c r="Z16" s="2342"/>
      <c r="AA16" s="2169"/>
      <c r="AB16" s="2378"/>
      <c r="AC16" s="780"/>
      <c r="AD16" s="790"/>
      <c r="AE16" s="794"/>
      <c r="AF16" s="2342"/>
      <c r="AG16" s="780"/>
      <c r="AH16" s="790"/>
      <c r="AI16" s="794"/>
      <c r="AJ16" s="2342"/>
      <c r="AK16" s="780"/>
      <c r="AL16" s="790"/>
      <c r="AN16" s="185"/>
      <c r="AO16" s="297"/>
      <c r="AP16" s="297"/>
    </row>
    <row r="17" spans="1:42">
      <c r="A17" s="1036" t="s">
        <v>99</v>
      </c>
      <c r="B17" s="1041" t="s">
        <v>295</v>
      </c>
      <c r="C17" s="2169">
        <v>287</v>
      </c>
      <c r="D17" s="2378">
        <v>295</v>
      </c>
      <c r="E17" s="780">
        <v>66</v>
      </c>
      <c r="F17" s="790"/>
      <c r="G17" s="794">
        <v>45.244999999999997</v>
      </c>
      <c r="H17" s="2342"/>
      <c r="I17" s="3202">
        <v>44.316000000000003</v>
      </c>
      <c r="J17" s="790"/>
      <c r="K17" s="794">
        <v>401.42200000000003</v>
      </c>
      <c r="L17" s="2342"/>
      <c r="M17" s="780">
        <v>359.58300000000003</v>
      </c>
      <c r="N17" s="790"/>
      <c r="O17" s="3200">
        <v>0.27200000000000002</v>
      </c>
      <c r="P17" s="3200">
        <v>0.22700000000000001</v>
      </c>
      <c r="Q17" s="780"/>
      <c r="R17" s="3198">
        <v>-4.4999999999999998E-2</v>
      </c>
      <c r="S17" s="780"/>
      <c r="T17" s="3198">
        <v>-4.4999999999999998E-2</v>
      </c>
      <c r="U17" s="794"/>
      <c r="V17" s="3199">
        <v>-4.9000000000000002E-2</v>
      </c>
      <c r="W17" s="780"/>
      <c r="X17" s="3198">
        <v>-4.9000000000000002E-2</v>
      </c>
      <c r="Y17" s="794"/>
      <c r="Z17" s="3199">
        <v>-4.9000000000000002E-2</v>
      </c>
      <c r="AA17" s="2169">
        <v>269</v>
      </c>
      <c r="AB17" s="2378">
        <v>254</v>
      </c>
      <c r="AC17" s="780">
        <v>12</v>
      </c>
      <c r="AD17" s="790"/>
      <c r="AE17" s="794">
        <v>35.42</v>
      </c>
      <c r="AF17" s="2342"/>
      <c r="AG17" s="3201">
        <v>313.45999999999998</v>
      </c>
      <c r="AH17" s="790"/>
      <c r="AI17" s="794">
        <v>368.5</v>
      </c>
      <c r="AJ17" s="2342"/>
      <c r="AK17" s="780">
        <v>353.6</v>
      </c>
      <c r="AL17" s="790"/>
      <c r="AN17" s="185"/>
      <c r="AO17" s="297"/>
      <c r="AP17" s="297"/>
    </row>
    <row r="18" spans="1:42">
      <c r="A18" s="1042" t="s">
        <v>101</v>
      </c>
      <c r="B18" s="1043" t="s">
        <v>296</v>
      </c>
      <c r="C18" s="1044">
        <f>SUM(C19:C20)</f>
        <v>336</v>
      </c>
      <c r="D18" s="2379">
        <f t="shared" ref="D18:N18" si="4">SUM(D19:D20)</f>
        <v>337</v>
      </c>
      <c r="E18" s="1045">
        <f t="shared" si="4"/>
        <v>0</v>
      </c>
      <c r="F18" s="1046">
        <f t="shared" si="4"/>
        <v>0</v>
      </c>
      <c r="G18" s="2383">
        <f t="shared" si="4"/>
        <v>0</v>
      </c>
      <c r="H18" s="2387">
        <f t="shared" si="4"/>
        <v>0</v>
      </c>
      <c r="I18" s="1045">
        <f t="shared" si="4"/>
        <v>11</v>
      </c>
      <c r="J18" s="1046">
        <f t="shared" si="4"/>
        <v>0</v>
      </c>
      <c r="K18" s="2383">
        <f t="shared" si="4"/>
        <v>153</v>
      </c>
      <c r="L18" s="2387">
        <f t="shared" si="4"/>
        <v>0</v>
      </c>
      <c r="M18" s="1045">
        <f t="shared" si="4"/>
        <v>153</v>
      </c>
      <c r="N18" s="1046">
        <f t="shared" si="4"/>
        <v>0</v>
      </c>
      <c r="O18" s="1044">
        <f>SUM(O19:O20)</f>
        <v>24</v>
      </c>
      <c r="P18" s="1044">
        <f t="shared" ref="P18:Z18" si="5">SUM(P19:P20)</f>
        <v>25</v>
      </c>
      <c r="Q18" s="1045">
        <f t="shared" si="5"/>
        <v>0</v>
      </c>
      <c r="R18" s="1046">
        <f t="shared" si="5"/>
        <v>0</v>
      </c>
      <c r="S18" s="1045">
        <f t="shared" si="5"/>
        <v>0</v>
      </c>
      <c r="T18" s="1046">
        <f t="shared" si="5"/>
        <v>0</v>
      </c>
      <c r="U18" s="2383">
        <f t="shared" si="5"/>
        <v>0</v>
      </c>
      <c r="V18" s="2387">
        <f t="shared" si="5"/>
        <v>0</v>
      </c>
      <c r="W18" s="1045">
        <f t="shared" si="5"/>
        <v>15</v>
      </c>
      <c r="X18" s="1046">
        <f t="shared" si="5"/>
        <v>0</v>
      </c>
      <c r="Y18" s="2383">
        <f t="shared" si="5"/>
        <v>15</v>
      </c>
      <c r="Z18" s="2387">
        <f t="shared" si="5"/>
        <v>0</v>
      </c>
      <c r="AA18" s="1044">
        <f>SUM(AA19:AA20)</f>
        <v>11</v>
      </c>
      <c r="AB18" s="2379">
        <f t="shared" ref="AB18:AL18" si="6">SUM(AB19:AB20)</f>
        <v>11</v>
      </c>
      <c r="AC18" s="1045">
        <f t="shared" si="6"/>
        <v>0</v>
      </c>
      <c r="AD18" s="1046">
        <f t="shared" si="6"/>
        <v>0</v>
      </c>
      <c r="AE18" s="2383">
        <f t="shared" si="6"/>
        <v>0</v>
      </c>
      <c r="AF18" s="2387">
        <f t="shared" si="6"/>
        <v>0</v>
      </c>
      <c r="AG18" s="1045">
        <f t="shared" si="6"/>
        <v>0</v>
      </c>
      <c r="AH18" s="1046">
        <f t="shared" si="6"/>
        <v>0</v>
      </c>
      <c r="AI18" s="2383">
        <f t="shared" si="6"/>
        <v>0</v>
      </c>
      <c r="AJ18" s="2387">
        <f t="shared" si="6"/>
        <v>0</v>
      </c>
      <c r="AK18" s="1045">
        <f t="shared" si="6"/>
        <v>0</v>
      </c>
      <c r="AL18" s="1046">
        <f t="shared" si="6"/>
        <v>0</v>
      </c>
      <c r="AN18" s="185"/>
      <c r="AO18" s="297"/>
      <c r="AP18" s="297"/>
    </row>
    <row r="19" spans="1:42">
      <c r="A19" s="1042" t="s">
        <v>297</v>
      </c>
      <c r="B19" s="1047" t="s">
        <v>298</v>
      </c>
      <c r="C19" s="2169">
        <v>16</v>
      </c>
      <c r="D19" s="2378">
        <v>17</v>
      </c>
      <c r="E19" s="780"/>
      <c r="F19" s="790"/>
      <c r="G19" s="794"/>
      <c r="H19" s="2342"/>
      <c r="I19" s="780"/>
      <c r="J19" s="790"/>
      <c r="K19" s="794"/>
      <c r="L19" s="2342"/>
      <c r="M19" s="780"/>
      <c r="N19" s="790"/>
      <c r="O19" s="2169"/>
      <c r="P19" s="2169"/>
      <c r="Q19" s="780"/>
      <c r="R19" s="790"/>
      <c r="S19" s="780"/>
      <c r="T19" s="790"/>
      <c r="U19" s="794"/>
      <c r="V19" s="2342"/>
      <c r="W19" s="780"/>
      <c r="X19" s="790"/>
      <c r="Y19" s="794"/>
      <c r="Z19" s="2342"/>
      <c r="AA19" s="2169"/>
      <c r="AB19" s="2378"/>
      <c r="AC19" s="780"/>
      <c r="AD19" s="790"/>
      <c r="AE19" s="794"/>
      <c r="AF19" s="2342"/>
      <c r="AG19" s="780"/>
      <c r="AH19" s="790"/>
      <c r="AI19" s="794"/>
      <c r="AJ19" s="2342"/>
      <c r="AK19" s="780"/>
      <c r="AL19" s="790"/>
      <c r="AM19" s="490"/>
      <c r="AN19" s="185"/>
      <c r="AO19" s="297"/>
      <c r="AP19" s="297"/>
    </row>
    <row r="20" spans="1:42">
      <c r="A20" s="1042" t="s">
        <v>608</v>
      </c>
      <c r="B20" s="1047" t="s">
        <v>299</v>
      </c>
      <c r="C20" s="2169">
        <v>320</v>
      </c>
      <c r="D20" s="2378">
        <v>320</v>
      </c>
      <c r="E20" s="780"/>
      <c r="F20" s="790"/>
      <c r="G20" s="794"/>
      <c r="H20" s="2342"/>
      <c r="I20" s="780">
        <v>11</v>
      </c>
      <c r="J20" s="790"/>
      <c r="K20" s="794">
        <v>153</v>
      </c>
      <c r="L20" s="2342"/>
      <c r="M20" s="780">
        <v>153</v>
      </c>
      <c r="N20" s="790"/>
      <c r="O20" s="2169">
        <v>24</v>
      </c>
      <c r="P20" s="2169">
        <v>25</v>
      </c>
      <c r="Q20" s="780"/>
      <c r="R20" s="790"/>
      <c r="S20" s="780"/>
      <c r="T20" s="790"/>
      <c r="U20" s="794"/>
      <c r="V20" s="2342"/>
      <c r="W20" s="780">
        <v>15</v>
      </c>
      <c r="X20" s="790"/>
      <c r="Y20" s="794">
        <v>15</v>
      </c>
      <c r="Z20" s="2342"/>
      <c r="AA20" s="2169">
        <v>11</v>
      </c>
      <c r="AB20" s="2378">
        <v>11</v>
      </c>
      <c r="AC20" s="780"/>
      <c r="AD20" s="790"/>
      <c r="AE20" s="794"/>
      <c r="AF20" s="2342"/>
      <c r="AG20" s="780"/>
      <c r="AH20" s="790"/>
      <c r="AI20" s="794"/>
      <c r="AJ20" s="2342"/>
      <c r="AK20" s="780"/>
      <c r="AL20" s="790"/>
      <c r="AM20" s="490"/>
      <c r="AN20" s="185"/>
      <c r="AO20" s="297"/>
      <c r="AP20" s="297"/>
    </row>
    <row r="21" spans="1:42">
      <c r="A21" s="1042" t="s">
        <v>197</v>
      </c>
      <c r="B21" s="1043" t="s">
        <v>300</v>
      </c>
      <c r="C21" s="2169">
        <v>42</v>
      </c>
      <c r="D21" s="2378">
        <v>40</v>
      </c>
      <c r="E21" s="780"/>
      <c r="F21" s="790"/>
      <c r="G21" s="794"/>
      <c r="H21" s="2342"/>
      <c r="I21" s="780"/>
      <c r="J21" s="790"/>
      <c r="K21" s="794">
        <v>17</v>
      </c>
      <c r="L21" s="2342"/>
      <c r="M21" s="780">
        <v>17</v>
      </c>
      <c r="N21" s="790"/>
      <c r="O21" s="2169">
        <v>6</v>
      </c>
      <c r="P21" s="2169">
        <v>6</v>
      </c>
      <c r="Q21" s="780"/>
      <c r="R21" s="790"/>
      <c r="S21" s="780"/>
      <c r="T21" s="790"/>
      <c r="U21" s="794"/>
      <c r="V21" s="2342"/>
      <c r="W21" s="780">
        <v>2</v>
      </c>
      <c r="X21" s="790"/>
      <c r="Y21" s="794">
        <v>2</v>
      </c>
      <c r="Z21" s="2342"/>
      <c r="AA21" s="2169">
        <v>7</v>
      </c>
      <c r="AB21" s="2378">
        <v>7</v>
      </c>
      <c r="AC21" s="780"/>
      <c r="AD21" s="790"/>
      <c r="AE21" s="794"/>
      <c r="AF21" s="2342"/>
      <c r="AG21" s="780"/>
      <c r="AH21" s="790"/>
      <c r="AI21" s="794"/>
      <c r="AJ21" s="2342"/>
      <c r="AK21" s="780"/>
      <c r="AL21" s="790"/>
      <c r="AM21" s="364"/>
      <c r="AN21" s="185"/>
      <c r="AO21" s="297"/>
      <c r="AP21" s="297"/>
    </row>
    <row r="22" spans="1:42">
      <c r="A22" s="1042" t="s">
        <v>199</v>
      </c>
      <c r="B22" s="1043" t="s">
        <v>301</v>
      </c>
      <c r="C22" s="2169">
        <v>19</v>
      </c>
      <c r="D22" s="2378">
        <v>15</v>
      </c>
      <c r="E22" s="780"/>
      <c r="F22" s="790"/>
      <c r="G22" s="794"/>
      <c r="H22" s="2342"/>
      <c r="I22" s="780"/>
      <c r="J22" s="790"/>
      <c r="K22" s="794">
        <v>7</v>
      </c>
      <c r="L22" s="2342"/>
      <c r="M22" s="780">
        <v>7</v>
      </c>
      <c r="N22" s="790"/>
      <c r="O22" s="2169">
        <v>4</v>
      </c>
      <c r="P22" s="2169">
        <v>4</v>
      </c>
      <c r="Q22" s="780"/>
      <c r="R22" s="790"/>
      <c r="S22" s="780"/>
      <c r="T22" s="790"/>
      <c r="U22" s="794"/>
      <c r="V22" s="2342"/>
      <c r="W22" s="780"/>
      <c r="X22" s="790"/>
      <c r="Y22" s="794"/>
      <c r="Z22" s="2342"/>
      <c r="AA22" s="2169">
        <v>5</v>
      </c>
      <c r="AB22" s="2378">
        <v>5</v>
      </c>
      <c r="AC22" s="780"/>
      <c r="AD22" s="790"/>
      <c r="AE22" s="794"/>
      <c r="AF22" s="2342"/>
      <c r="AG22" s="780"/>
      <c r="AH22" s="790"/>
      <c r="AI22" s="794"/>
      <c r="AJ22" s="2342"/>
      <c r="AK22" s="780"/>
      <c r="AL22" s="790"/>
      <c r="AM22" s="364"/>
      <c r="AN22" s="185"/>
      <c r="AO22" s="297"/>
      <c r="AP22" s="297"/>
    </row>
    <row r="23" spans="1:42">
      <c r="A23" s="1042" t="s">
        <v>201</v>
      </c>
      <c r="B23" s="1043" t="s">
        <v>860</v>
      </c>
      <c r="C23" s="2169">
        <v>455</v>
      </c>
      <c r="D23" s="2378">
        <v>460</v>
      </c>
      <c r="E23" s="780"/>
      <c r="F23" s="790"/>
      <c r="G23" s="794"/>
      <c r="H23" s="2342">
        <v>-39.5</v>
      </c>
      <c r="I23" s="780">
        <v>31</v>
      </c>
      <c r="J23" s="790">
        <v>-82</v>
      </c>
      <c r="K23" s="794">
        <v>119</v>
      </c>
      <c r="L23" s="2342">
        <v>-106</v>
      </c>
      <c r="M23" s="780">
        <v>119</v>
      </c>
      <c r="N23" s="790">
        <v>-160</v>
      </c>
      <c r="O23" s="2169">
        <v>44</v>
      </c>
      <c r="P23" s="2169">
        <v>44</v>
      </c>
      <c r="Q23" s="780"/>
      <c r="R23" s="790"/>
      <c r="S23" s="780"/>
      <c r="T23" s="790"/>
      <c r="U23" s="794"/>
      <c r="V23" s="2342"/>
      <c r="W23" s="780">
        <v>2</v>
      </c>
      <c r="X23" s="790">
        <v>-1</v>
      </c>
      <c r="Y23" s="794">
        <v>2</v>
      </c>
      <c r="Z23" s="2342">
        <v>-5</v>
      </c>
      <c r="AA23" s="2169">
        <v>61</v>
      </c>
      <c r="AB23" s="2378">
        <v>61</v>
      </c>
      <c r="AC23" s="780"/>
      <c r="AD23" s="790"/>
      <c r="AE23" s="794"/>
      <c r="AF23" s="2342">
        <v>-1</v>
      </c>
      <c r="AG23" s="780"/>
      <c r="AH23" s="790">
        <v>-10</v>
      </c>
      <c r="AI23" s="794"/>
      <c r="AJ23" s="2342">
        <v>-10</v>
      </c>
      <c r="AK23" s="780"/>
      <c r="AL23" s="790">
        <v>-7</v>
      </c>
      <c r="AM23" s="364"/>
      <c r="AN23" s="185"/>
      <c r="AO23" s="297"/>
      <c r="AP23" s="297"/>
    </row>
    <row r="24" spans="1:42">
      <c r="A24" s="1042" t="s">
        <v>203</v>
      </c>
      <c r="B24" s="1043" t="s">
        <v>609</v>
      </c>
      <c r="C24" s="1044">
        <f>SUM(C25:C27)</f>
        <v>94</v>
      </c>
      <c r="D24" s="2379">
        <f>SUM(D25:D27)</f>
        <v>63</v>
      </c>
      <c r="E24" s="1045">
        <f t="shared" ref="E24:N24" si="7">SUM(E25:E27)</f>
        <v>0</v>
      </c>
      <c r="F24" s="1046">
        <f t="shared" si="7"/>
        <v>0</v>
      </c>
      <c r="G24" s="2383">
        <f t="shared" si="7"/>
        <v>0</v>
      </c>
      <c r="H24" s="2387">
        <f t="shared" si="7"/>
        <v>0</v>
      </c>
      <c r="I24" s="1045">
        <f t="shared" si="7"/>
        <v>16</v>
      </c>
      <c r="J24" s="1046">
        <f t="shared" si="7"/>
        <v>0</v>
      </c>
      <c r="K24" s="2383">
        <f t="shared" si="7"/>
        <v>52</v>
      </c>
      <c r="L24" s="2387">
        <f t="shared" si="7"/>
        <v>0</v>
      </c>
      <c r="M24" s="1045">
        <f t="shared" si="7"/>
        <v>52</v>
      </c>
      <c r="N24" s="1046">
        <f t="shared" si="7"/>
        <v>0</v>
      </c>
      <c r="O24" s="1044">
        <f>SUM(O25:O27)</f>
        <v>7</v>
      </c>
      <c r="P24" s="1044">
        <f>SUM(P25:P27)</f>
        <v>7</v>
      </c>
      <c r="Q24" s="1045">
        <f t="shared" ref="Q24:Z24" si="8">SUM(Q25:Q27)</f>
        <v>0</v>
      </c>
      <c r="R24" s="1046">
        <f t="shared" si="8"/>
        <v>0</v>
      </c>
      <c r="S24" s="1045">
        <f t="shared" si="8"/>
        <v>0</v>
      </c>
      <c r="T24" s="1046">
        <f t="shared" si="8"/>
        <v>0</v>
      </c>
      <c r="U24" s="2383">
        <f t="shared" si="8"/>
        <v>0</v>
      </c>
      <c r="V24" s="2387">
        <f t="shared" si="8"/>
        <v>0</v>
      </c>
      <c r="W24" s="1045">
        <f t="shared" si="8"/>
        <v>3</v>
      </c>
      <c r="X24" s="1046">
        <f t="shared" si="8"/>
        <v>0</v>
      </c>
      <c r="Y24" s="2383">
        <f t="shared" si="8"/>
        <v>3</v>
      </c>
      <c r="Z24" s="2387">
        <f t="shared" si="8"/>
        <v>0</v>
      </c>
      <c r="AA24" s="1044">
        <f>SUM(AA25:AA27)</f>
        <v>15</v>
      </c>
      <c r="AB24" s="2379">
        <f>SUM(AB25:AB27)</f>
        <v>10</v>
      </c>
      <c r="AC24" s="1045">
        <f t="shared" ref="AC24:AL24" si="9">SUM(AC25:AC27)</f>
        <v>0</v>
      </c>
      <c r="AD24" s="1046">
        <f t="shared" si="9"/>
        <v>0</v>
      </c>
      <c r="AE24" s="2383">
        <f t="shared" si="9"/>
        <v>0</v>
      </c>
      <c r="AF24" s="2387">
        <f t="shared" si="9"/>
        <v>0</v>
      </c>
      <c r="AG24" s="1045">
        <f t="shared" si="9"/>
        <v>0</v>
      </c>
      <c r="AH24" s="1046">
        <f t="shared" si="9"/>
        <v>0</v>
      </c>
      <c r="AI24" s="2383">
        <f t="shared" si="9"/>
        <v>0</v>
      </c>
      <c r="AJ24" s="2387">
        <f t="shared" si="9"/>
        <v>0</v>
      </c>
      <c r="AK24" s="1045">
        <f>SUM(AK25:AK27)</f>
        <v>0</v>
      </c>
      <c r="AL24" s="1046">
        <f t="shared" si="9"/>
        <v>0</v>
      </c>
      <c r="AM24" s="364"/>
      <c r="AN24" s="185"/>
      <c r="AO24" s="297"/>
      <c r="AP24" s="297"/>
    </row>
    <row r="25" spans="1:42">
      <c r="A25" s="1042" t="s">
        <v>610</v>
      </c>
      <c r="B25" s="1048" t="s">
        <v>302</v>
      </c>
      <c r="C25" s="2169">
        <v>39</v>
      </c>
      <c r="D25" s="2378">
        <v>63</v>
      </c>
      <c r="E25" s="780"/>
      <c r="F25" s="790"/>
      <c r="G25" s="794"/>
      <c r="H25" s="2342"/>
      <c r="I25" s="780">
        <v>16</v>
      </c>
      <c r="J25" s="790"/>
      <c r="K25" s="794">
        <v>49</v>
      </c>
      <c r="L25" s="2342"/>
      <c r="M25" s="780">
        <v>49</v>
      </c>
      <c r="N25" s="790"/>
      <c r="O25" s="2169">
        <v>3</v>
      </c>
      <c r="P25" s="2169">
        <v>7</v>
      </c>
      <c r="Q25" s="780"/>
      <c r="R25" s="790"/>
      <c r="S25" s="780"/>
      <c r="T25" s="790"/>
      <c r="U25" s="794"/>
      <c r="V25" s="2342"/>
      <c r="W25" s="780">
        <v>2</v>
      </c>
      <c r="X25" s="790"/>
      <c r="Y25" s="794">
        <v>2</v>
      </c>
      <c r="Z25" s="2342"/>
      <c r="AA25" s="2169">
        <v>15</v>
      </c>
      <c r="AB25" s="2378">
        <v>10</v>
      </c>
      <c r="AC25" s="780"/>
      <c r="AD25" s="790"/>
      <c r="AE25" s="794"/>
      <c r="AF25" s="2342"/>
      <c r="AG25" s="780"/>
      <c r="AH25" s="790"/>
      <c r="AI25" s="794"/>
      <c r="AJ25" s="2342"/>
      <c r="AK25" s="780"/>
      <c r="AL25" s="790"/>
      <c r="AM25" s="491"/>
      <c r="AN25" s="185"/>
      <c r="AO25" s="297"/>
      <c r="AP25" s="297"/>
    </row>
    <row r="26" spans="1:42">
      <c r="A26" s="1049" t="s">
        <v>611</v>
      </c>
      <c r="B26" s="3019"/>
      <c r="C26" s="2169">
        <v>55</v>
      </c>
      <c r="D26" s="2378"/>
      <c r="E26" s="780"/>
      <c r="F26" s="790"/>
      <c r="G26" s="794"/>
      <c r="H26" s="2342"/>
      <c r="I26" s="780"/>
      <c r="J26" s="790"/>
      <c r="K26" s="794">
        <v>3</v>
      </c>
      <c r="L26" s="2342"/>
      <c r="M26" s="780">
        <v>3</v>
      </c>
      <c r="N26" s="790"/>
      <c r="O26" s="2169">
        <v>4</v>
      </c>
      <c r="P26" s="2169"/>
      <c r="Q26" s="780"/>
      <c r="R26" s="790"/>
      <c r="S26" s="780"/>
      <c r="T26" s="790"/>
      <c r="U26" s="794"/>
      <c r="V26" s="2342"/>
      <c r="W26" s="780">
        <v>1</v>
      </c>
      <c r="X26" s="790"/>
      <c r="Y26" s="794">
        <v>1</v>
      </c>
      <c r="Z26" s="2342"/>
      <c r="AA26" s="2169"/>
      <c r="AB26" s="2378"/>
      <c r="AC26" s="780"/>
      <c r="AD26" s="790"/>
      <c r="AE26" s="794"/>
      <c r="AF26" s="2342"/>
      <c r="AG26" s="780"/>
      <c r="AH26" s="790"/>
      <c r="AI26" s="794"/>
      <c r="AJ26" s="2342"/>
      <c r="AK26" s="780"/>
      <c r="AL26" s="790"/>
      <c r="AM26" s="491"/>
      <c r="AN26" s="185"/>
      <c r="AO26" s="297"/>
      <c r="AP26" s="297"/>
    </row>
    <row r="27" spans="1:42" ht="15.75" thickBot="1">
      <c r="A27" s="1049" t="s">
        <v>612</v>
      </c>
      <c r="B27" s="790"/>
      <c r="C27" s="2170"/>
      <c r="D27" s="2380"/>
      <c r="E27" s="2164"/>
      <c r="F27" s="2165"/>
      <c r="G27" s="2171"/>
      <c r="H27" s="2388"/>
      <c r="I27" s="2164"/>
      <c r="J27" s="2165"/>
      <c r="K27" s="2171"/>
      <c r="L27" s="2388"/>
      <c r="M27" s="2164"/>
      <c r="N27" s="2165"/>
      <c r="O27" s="2170"/>
      <c r="P27" s="2170"/>
      <c r="Q27" s="2164"/>
      <c r="R27" s="2165"/>
      <c r="S27" s="2164"/>
      <c r="T27" s="2165"/>
      <c r="U27" s="2171"/>
      <c r="V27" s="2388"/>
      <c r="W27" s="2164"/>
      <c r="X27" s="2165"/>
      <c r="Y27" s="2171"/>
      <c r="Z27" s="2388"/>
      <c r="AA27" s="2170"/>
      <c r="AB27" s="2380"/>
      <c r="AC27" s="2164"/>
      <c r="AD27" s="2165"/>
      <c r="AE27" s="2171"/>
      <c r="AF27" s="2388"/>
      <c r="AG27" s="2164"/>
      <c r="AH27" s="2165"/>
      <c r="AI27" s="2171"/>
      <c r="AJ27" s="2388"/>
      <c r="AK27" s="2164"/>
      <c r="AL27" s="2165"/>
      <c r="AM27" s="491"/>
      <c r="AN27" s="185"/>
      <c r="AO27" s="297"/>
      <c r="AP27" s="297"/>
    </row>
    <row r="28" spans="1:42" thickBot="1">
      <c r="A28" s="1050" t="s">
        <v>103</v>
      </c>
      <c r="B28" s="1051" t="s">
        <v>303</v>
      </c>
      <c r="C28" s="1032">
        <f>SUM(C29:C52)-C36-C49</f>
        <v>1487</v>
      </c>
      <c r="D28" s="1035">
        <f t="shared" ref="D28:AL28" si="10">SUM(D29:D52)-D36-D49</f>
        <v>1487</v>
      </c>
      <c r="E28" s="1033">
        <f t="shared" si="10"/>
        <v>83</v>
      </c>
      <c r="F28" s="1034">
        <f t="shared" si="10"/>
        <v>0</v>
      </c>
      <c r="G28" s="1033">
        <f t="shared" si="10"/>
        <v>83</v>
      </c>
      <c r="H28" s="1034">
        <f t="shared" si="10"/>
        <v>0</v>
      </c>
      <c r="I28" s="1033">
        <f t="shared" si="10"/>
        <v>125</v>
      </c>
      <c r="J28" s="1034">
        <f t="shared" si="10"/>
        <v>0</v>
      </c>
      <c r="K28" s="1033">
        <f t="shared" si="10"/>
        <v>384</v>
      </c>
      <c r="L28" s="1034">
        <f t="shared" si="10"/>
        <v>0</v>
      </c>
      <c r="M28" s="1033">
        <f t="shared" si="10"/>
        <v>384</v>
      </c>
      <c r="N28" s="1034">
        <f t="shared" si="10"/>
        <v>0</v>
      </c>
      <c r="O28" s="1032">
        <f t="shared" si="10"/>
        <v>154</v>
      </c>
      <c r="P28" s="1035">
        <f t="shared" si="10"/>
        <v>163</v>
      </c>
      <c r="Q28" s="1033">
        <f t="shared" si="10"/>
        <v>24.55</v>
      </c>
      <c r="R28" s="1034">
        <f t="shared" si="10"/>
        <v>0</v>
      </c>
      <c r="S28" s="1033">
        <f t="shared" si="10"/>
        <v>25.49</v>
      </c>
      <c r="T28" s="1034">
        <f t="shared" si="10"/>
        <v>0</v>
      </c>
      <c r="U28" s="1033">
        <f t="shared" si="10"/>
        <v>33</v>
      </c>
      <c r="V28" s="1034">
        <f t="shared" si="10"/>
        <v>0</v>
      </c>
      <c r="W28" s="1033">
        <f t="shared" si="10"/>
        <v>58.7</v>
      </c>
      <c r="X28" s="1034">
        <f t="shared" si="10"/>
        <v>0</v>
      </c>
      <c r="Y28" s="1033">
        <f t="shared" si="10"/>
        <v>58.54</v>
      </c>
      <c r="Z28" s="1034">
        <f t="shared" si="10"/>
        <v>0</v>
      </c>
      <c r="AA28" s="1032">
        <f t="shared" si="10"/>
        <v>188</v>
      </c>
      <c r="AB28" s="1035">
        <f t="shared" si="10"/>
        <v>167</v>
      </c>
      <c r="AC28" s="1033">
        <f t="shared" si="10"/>
        <v>0</v>
      </c>
      <c r="AD28" s="1034">
        <f t="shared" si="10"/>
        <v>-20</v>
      </c>
      <c r="AE28" s="1033">
        <f t="shared" si="10"/>
        <v>3</v>
      </c>
      <c r="AF28" s="1034">
        <f t="shared" si="10"/>
        <v>-20</v>
      </c>
      <c r="AG28" s="1033">
        <f t="shared" si="10"/>
        <v>3</v>
      </c>
      <c r="AH28" s="1034">
        <f t="shared" si="10"/>
        <v>-20</v>
      </c>
      <c r="AI28" s="1033">
        <f t="shared" si="10"/>
        <v>16</v>
      </c>
      <c r="AJ28" s="1034">
        <f t="shared" si="10"/>
        <v>-20</v>
      </c>
      <c r="AK28" s="1033">
        <f t="shared" si="10"/>
        <v>16</v>
      </c>
      <c r="AL28" s="1034">
        <f t="shared" si="10"/>
        <v>-20</v>
      </c>
      <c r="AM28" s="492"/>
      <c r="AN28" s="185"/>
      <c r="AO28" s="297"/>
      <c r="AP28" s="297"/>
    </row>
    <row r="29" spans="1:42" ht="15.75" customHeight="1">
      <c r="A29" s="1036" t="s">
        <v>105</v>
      </c>
      <c r="B29" s="1453" t="s">
        <v>304</v>
      </c>
      <c r="C29" s="2169">
        <v>90</v>
      </c>
      <c r="D29" s="2378">
        <v>80</v>
      </c>
      <c r="E29" s="780"/>
      <c r="F29" s="790"/>
      <c r="G29" s="794"/>
      <c r="H29" s="2342"/>
      <c r="I29" s="780"/>
      <c r="J29" s="790"/>
      <c r="K29" s="794">
        <v>6</v>
      </c>
      <c r="L29" s="2342"/>
      <c r="M29" s="780">
        <v>6</v>
      </c>
      <c r="N29" s="790"/>
      <c r="O29" s="2169">
        <v>10</v>
      </c>
      <c r="P29" s="2169">
        <v>10</v>
      </c>
      <c r="Q29" s="780"/>
      <c r="R29" s="790"/>
      <c r="S29" s="780"/>
      <c r="T29" s="790"/>
      <c r="U29" s="794"/>
      <c r="V29" s="2342"/>
      <c r="W29" s="780"/>
      <c r="X29" s="790"/>
      <c r="Y29" s="794"/>
      <c r="Z29" s="2342"/>
      <c r="AA29" s="2169">
        <v>10</v>
      </c>
      <c r="AB29" s="2378">
        <v>10</v>
      </c>
      <c r="AC29" s="780"/>
      <c r="AD29" s="790"/>
      <c r="AE29" s="794"/>
      <c r="AF29" s="2342"/>
      <c r="AG29" s="780"/>
      <c r="AH29" s="790"/>
      <c r="AI29" s="794"/>
      <c r="AJ29" s="2342"/>
      <c r="AK29" s="780"/>
      <c r="AL29" s="790"/>
      <c r="AM29" s="492"/>
      <c r="AN29" s="186"/>
      <c r="AO29" s="297"/>
      <c r="AP29" s="297"/>
    </row>
    <row r="30" spans="1:42">
      <c r="A30" s="1042" t="s">
        <v>107</v>
      </c>
      <c r="B30" s="2994" t="s">
        <v>305</v>
      </c>
      <c r="C30" s="2169">
        <v>6</v>
      </c>
      <c r="D30" s="2169">
        <v>4</v>
      </c>
      <c r="E30" s="780"/>
      <c r="F30" s="790"/>
      <c r="G30" s="780"/>
      <c r="H30" s="790"/>
      <c r="I30" s="780">
        <v>10</v>
      </c>
      <c r="J30" s="790"/>
      <c r="K30" s="780">
        <v>58</v>
      </c>
      <c r="L30" s="790"/>
      <c r="M30" s="780">
        <v>58</v>
      </c>
      <c r="N30" s="790"/>
      <c r="O30" s="2169"/>
      <c r="P30" s="2169"/>
      <c r="Q30" s="780"/>
      <c r="R30" s="790"/>
      <c r="S30" s="780"/>
      <c r="T30" s="790"/>
      <c r="U30" s="780"/>
      <c r="V30" s="790"/>
      <c r="W30" s="780"/>
      <c r="X30" s="790"/>
      <c r="Y30" s="780"/>
      <c r="Z30" s="790"/>
      <c r="AA30" s="2169"/>
      <c r="AB30" s="2378"/>
      <c r="AC30" s="780"/>
      <c r="AD30" s="790"/>
      <c r="AE30" s="780"/>
      <c r="AF30" s="790"/>
      <c r="AG30" s="780"/>
      <c r="AH30" s="790"/>
      <c r="AI30" s="780"/>
      <c r="AJ30" s="790"/>
      <c r="AK30" s="794"/>
      <c r="AL30" s="781"/>
      <c r="AM30" s="364"/>
      <c r="AN30" s="186"/>
      <c r="AO30" s="297"/>
      <c r="AP30" s="297"/>
    </row>
    <row r="31" spans="1:42">
      <c r="A31" s="1042" t="s">
        <v>225</v>
      </c>
      <c r="B31" s="1452" t="s">
        <v>307</v>
      </c>
      <c r="C31" s="2169">
        <v>28</v>
      </c>
      <c r="D31" s="2378">
        <v>28</v>
      </c>
      <c r="E31" s="780"/>
      <c r="F31" s="790"/>
      <c r="G31" s="794"/>
      <c r="H31" s="2342"/>
      <c r="I31" s="780"/>
      <c r="J31" s="790"/>
      <c r="K31" s="794">
        <v>8</v>
      </c>
      <c r="L31" s="2342"/>
      <c r="M31" s="780">
        <v>8</v>
      </c>
      <c r="N31" s="790"/>
      <c r="O31" s="2169">
        <v>3</v>
      </c>
      <c r="P31" s="2169">
        <v>3</v>
      </c>
      <c r="Q31" s="780"/>
      <c r="R31" s="790"/>
      <c r="S31" s="780"/>
      <c r="T31" s="790"/>
      <c r="U31" s="794"/>
      <c r="V31" s="2342"/>
      <c r="W31" s="780"/>
      <c r="X31" s="790"/>
      <c r="Y31" s="794"/>
      <c r="Z31" s="2342"/>
      <c r="AA31" s="2169">
        <v>4</v>
      </c>
      <c r="AB31" s="2378">
        <v>4</v>
      </c>
      <c r="AC31" s="780"/>
      <c r="AD31" s="790"/>
      <c r="AE31" s="794"/>
      <c r="AF31" s="2342"/>
      <c r="AG31" s="780"/>
      <c r="AH31" s="790"/>
      <c r="AI31" s="794"/>
      <c r="AJ31" s="2342"/>
      <c r="AK31" s="780"/>
      <c r="AL31" s="790"/>
      <c r="AM31" s="490"/>
      <c r="AN31" s="357"/>
      <c r="AO31" s="357"/>
      <c r="AP31" s="357"/>
    </row>
    <row r="32" spans="1:42">
      <c r="A32" s="1042" t="s">
        <v>306</v>
      </c>
      <c r="B32" s="1452" t="s">
        <v>309</v>
      </c>
      <c r="C32" s="2169">
        <v>54</v>
      </c>
      <c r="D32" s="2378">
        <v>45</v>
      </c>
      <c r="E32" s="780"/>
      <c r="F32" s="790"/>
      <c r="G32" s="794"/>
      <c r="H32" s="2342"/>
      <c r="I32" s="780">
        <v>1</v>
      </c>
      <c r="J32" s="790"/>
      <c r="K32" s="794">
        <v>34</v>
      </c>
      <c r="L32" s="2342"/>
      <c r="M32" s="780">
        <v>34</v>
      </c>
      <c r="N32" s="790"/>
      <c r="O32" s="2169">
        <v>15</v>
      </c>
      <c r="P32" s="2169">
        <v>15</v>
      </c>
      <c r="Q32" s="780"/>
      <c r="R32" s="790"/>
      <c r="S32" s="780"/>
      <c r="T32" s="790"/>
      <c r="U32" s="794"/>
      <c r="V32" s="2342"/>
      <c r="W32" s="780">
        <v>3</v>
      </c>
      <c r="X32" s="790"/>
      <c r="Y32" s="794">
        <v>3</v>
      </c>
      <c r="Z32" s="2342"/>
      <c r="AA32" s="2169">
        <v>14</v>
      </c>
      <c r="AB32" s="2378">
        <v>14</v>
      </c>
      <c r="AC32" s="780"/>
      <c r="AD32" s="790"/>
      <c r="AE32" s="794"/>
      <c r="AF32" s="2342"/>
      <c r="AG32" s="780"/>
      <c r="AH32" s="790"/>
      <c r="AI32" s="794"/>
      <c r="AJ32" s="2342"/>
      <c r="AK32" s="780"/>
      <c r="AL32" s="790"/>
    </row>
    <row r="33" spans="1:42">
      <c r="A33" s="1042" t="s">
        <v>308</v>
      </c>
      <c r="B33" s="1452" t="s">
        <v>311</v>
      </c>
      <c r="C33" s="2169">
        <v>7</v>
      </c>
      <c r="D33" s="2378">
        <v>7</v>
      </c>
      <c r="E33" s="780"/>
      <c r="F33" s="790"/>
      <c r="G33" s="794"/>
      <c r="H33" s="2342"/>
      <c r="I33" s="780"/>
      <c r="J33" s="790"/>
      <c r="K33" s="794">
        <v>20</v>
      </c>
      <c r="L33" s="2342"/>
      <c r="M33" s="780">
        <v>20</v>
      </c>
      <c r="N33" s="790"/>
      <c r="O33" s="2169"/>
      <c r="P33" s="2169"/>
      <c r="Q33" s="780"/>
      <c r="R33" s="790"/>
      <c r="S33" s="780"/>
      <c r="T33" s="790"/>
      <c r="U33" s="794"/>
      <c r="V33" s="2342"/>
      <c r="W33" s="780">
        <v>2</v>
      </c>
      <c r="X33" s="790"/>
      <c r="Y33" s="794">
        <v>2</v>
      </c>
      <c r="Z33" s="2342"/>
      <c r="AA33" s="2169">
        <v>17</v>
      </c>
      <c r="AB33" s="2378">
        <v>17</v>
      </c>
      <c r="AC33" s="780"/>
      <c r="AD33" s="790"/>
      <c r="AE33" s="794"/>
      <c r="AF33" s="2342"/>
      <c r="AG33" s="780"/>
      <c r="AH33" s="790"/>
      <c r="AI33" s="794"/>
      <c r="AJ33" s="2342"/>
      <c r="AK33" s="780"/>
      <c r="AL33" s="790"/>
    </row>
    <row r="34" spans="1:42">
      <c r="A34" s="1042" t="s">
        <v>310</v>
      </c>
      <c r="B34" s="1452" t="s">
        <v>313</v>
      </c>
      <c r="C34" s="2169">
        <v>75</v>
      </c>
      <c r="D34" s="2378">
        <v>86</v>
      </c>
      <c r="E34" s="780"/>
      <c r="F34" s="790"/>
      <c r="G34" s="794"/>
      <c r="H34" s="2342"/>
      <c r="I34" s="780"/>
      <c r="J34" s="790"/>
      <c r="K34" s="794"/>
      <c r="L34" s="2342"/>
      <c r="M34" s="780"/>
      <c r="N34" s="790"/>
      <c r="O34" s="2169">
        <v>7</v>
      </c>
      <c r="P34" s="2169">
        <v>8</v>
      </c>
      <c r="Q34" s="780"/>
      <c r="R34" s="790"/>
      <c r="S34" s="780"/>
      <c r="T34" s="790"/>
      <c r="U34" s="794"/>
      <c r="V34" s="2342"/>
      <c r="W34" s="780"/>
      <c r="X34" s="790"/>
      <c r="Y34" s="794"/>
      <c r="Z34" s="2342"/>
      <c r="AA34" s="2169">
        <v>14</v>
      </c>
      <c r="AB34" s="2378">
        <v>14</v>
      </c>
      <c r="AC34" s="780"/>
      <c r="AD34" s="790"/>
      <c r="AE34" s="794"/>
      <c r="AF34" s="2342"/>
      <c r="AG34" s="780"/>
      <c r="AH34" s="790"/>
      <c r="AI34" s="794"/>
      <c r="AJ34" s="2342"/>
      <c r="AK34" s="780"/>
      <c r="AL34" s="790"/>
    </row>
    <row r="35" spans="1:42">
      <c r="A35" s="1042" t="s">
        <v>312</v>
      </c>
      <c r="B35" s="1452" t="s">
        <v>315</v>
      </c>
      <c r="C35" s="2169">
        <v>22</v>
      </c>
      <c r="D35" s="2378">
        <v>20</v>
      </c>
      <c r="E35" s="780"/>
      <c r="F35" s="790"/>
      <c r="G35" s="794"/>
      <c r="H35" s="2342"/>
      <c r="I35" s="780"/>
      <c r="J35" s="790"/>
      <c r="K35" s="794">
        <v>6</v>
      </c>
      <c r="L35" s="2342"/>
      <c r="M35" s="780">
        <v>6</v>
      </c>
      <c r="N35" s="790"/>
      <c r="O35" s="2169">
        <v>3</v>
      </c>
      <c r="P35" s="2169">
        <v>3</v>
      </c>
      <c r="Q35" s="780"/>
      <c r="R35" s="790"/>
      <c r="S35" s="780"/>
      <c r="T35" s="790"/>
      <c r="U35" s="794"/>
      <c r="V35" s="2342"/>
      <c r="W35" s="780"/>
      <c r="X35" s="790"/>
      <c r="Y35" s="794"/>
      <c r="Z35" s="2342"/>
      <c r="AA35" s="2169">
        <v>6</v>
      </c>
      <c r="AB35" s="2378">
        <v>6</v>
      </c>
      <c r="AC35" s="780"/>
      <c r="AD35" s="790"/>
      <c r="AE35" s="794"/>
      <c r="AF35" s="2342"/>
      <c r="AG35" s="780"/>
      <c r="AH35" s="790"/>
      <c r="AI35" s="794"/>
      <c r="AJ35" s="2342"/>
      <c r="AK35" s="780"/>
      <c r="AL35" s="790"/>
    </row>
    <row r="36" spans="1:42">
      <c r="A36" s="1042" t="s">
        <v>314</v>
      </c>
      <c r="B36" s="1452" t="s">
        <v>613</v>
      </c>
      <c r="C36" s="1449">
        <f>SUM(C37:C40)</f>
        <v>45</v>
      </c>
      <c r="D36" s="1173">
        <f>SUM(D37:D40)</f>
        <v>41</v>
      </c>
      <c r="E36" s="1045">
        <f t="shared" ref="E36:N36" si="11">SUM(E37:E40)</f>
        <v>0</v>
      </c>
      <c r="F36" s="1046">
        <f t="shared" si="11"/>
        <v>0</v>
      </c>
      <c r="G36" s="1045">
        <f t="shared" si="11"/>
        <v>0</v>
      </c>
      <c r="H36" s="1046">
        <f t="shared" si="11"/>
        <v>0</v>
      </c>
      <c r="I36" s="1045">
        <f t="shared" si="11"/>
        <v>0</v>
      </c>
      <c r="J36" s="1046">
        <f t="shared" si="11"/>
        <v>0</v>
      </c>
      <c r="K36" s="1045">
        <f t="shared" si="11"/>
        <v>0</v>
      </c>
      <c r="L36" s="1046">
        <f t="shared" si="11"/>
        <v>0</v>
      </c>
      <c r="M36" s="1045">
        <f t="shared" si="11"/>
        <v>0</v>
      </c>
      <c r="N36" s="1046">
        <f t="shared" si="11"/>
        <v>0</v>
      </c>
      <c r="O36" s="1449">
        <f>SUM(O37:O40)</f>
        <v>8</v>
      </c>
      <c r="P36" s="1173">
        <f>SUM(P37:P40)</f>
        <v>8</v>
      </c>
      <c r="Q36" s="1045">
        <f t="shared" ref="Q36:Z36" si="12">SUM(Q37:Q40)</f>
        <v>0</v>
      </c>
      <c r="R36" s="1046">
        <f t="shared" si="12"/>
        <v>0</v>
      </c>
      <c r="S36" s="1045">
        <f t="shared" si="12"/>
        <v>0</v>
      </c>
      <c r="T36" s="1046">
        <f t="shared" si="12"/>
        <v>0</v>
      </c>
      <c r="U36" s="1045">
        <f t="shared" si="12"/>
        <v>0</v>
      </c>
      <c r="V36" s="1046">
        <f t="shared" si="12"/>
        <v>0</v>
      </c>
      <c r="W36" s="1045">
        <f t="shared" si="12"/>
        <v>0</v>
      </c>
      <c r="X36" s="1046">
        <f t="shared" si="12"/>
        <v>0</v>
      </c>
      <c r="Y36" s="1045">
        <f t="shared" si="12"/>
        <v>0</v>
      </c>
      <c r="Z36" s="1046">
        <f t="shared" si="12"/>
        <v>0</v>
      </c>
      <c r="AA36" s="1449">
        <f>SUM(AA37:AA40)</f>
        <v>12</v>
      </c>
      <c r="AB36" s="1173">
        <f>SUM(AB37:AB40)</f>
        <v>12</v>
      </c>
      <c r="AC36" s="1045">
        <f t="shared" ref="AC36:AL36" si="13">SUM(AC37:AC40)</f>
        <v>0</v>
      </c>
      <c r="AD36" s="1046">
        <f t="shared" si="13"/>
        <v>0</v>
      </c>
      <c r="AE36" s="1045">
        <f t="shared" si="13"/>
        <v>0</v>
      </c>
      <c r="AF36" s="1046">
        <f t="shared" si="13"/>
        <v>0</v>
      </c>
      <c r="AG36" s="1045">
        <f t="shared" si="13"/>
        <v>0</v>
      </c>
      <c r="AH36" s="1046">
        <f t="shared" si="13"/>
        <v>0</v>
      </c>
      <c r="AI36" s="1045">
        <f t="shared" si="13"/>
        <v>0</v>
      </c>
      <c r="AJ36" s="1046">
        <f t="shared" si="13"/>
        <v>0</v>
      </c>
      <c r="AK36" s="1045">
        <f t="shared" si="13"/>
        <v>0</v>
      </c>
      <c r="AL36" s="1046">
        <f t="shared" si="13"/>
        <v>0</v>
      </c>
    </row>
    <row r="37" spans="1:42">
      <c r="A37" s="1042" t="s">
        <v>614</v>
      </c>
      <c r="B37" s="1450" t="s">
        <v>317</v>
      </c>
      <c r="C37" s="2169">
        <v>10</v>
      </c>
      <c r="D37" s="2378">
        <v>10</v>
      </c>
      <c r="E37" s="780"/>
      <c r="F37" s="790"/>
      <c r="G37" s="794"/>
      <c r="H37" s="2342"/>
      <c r="I37" s="780"/>
      <c r="J37" s="790"/>
      <c r="K37" s="794"/>
      <c r="L37" s="2342"/>
      <c r="M37" s="780"/>
      <c r="N37" s="790"/>
      <c r="O37" s="2169">
        <v>3</v>
      </c>
      <c r="P37" s="2169">
        <v>3</v>
      </c>
      <c r="Q37" s="780"/>
      <c r="R37" s="790"/>
      <c r="S37" s="780"/>
      <c r="T37" s="790"/>
      <c r="U37" s="794"/>
      <c r="V37" s="2342"/>
      <c r="W37" s="780"/>
      <c r="X37" s="790"/>
      <c r="Y37" s="794"/>
      <c r="Z37" s="2342"/>
      <c r="AA37" s="2169">
        <v>2</v>
      </c>
      <c r="AB37" s="2378">
        <v>2</v>
      </c>
      <c r="AC37" s="780"/>
      <c r="AD37" s="790"/>
      <c r="AE37" s="794"/>
      <c r="AF37" s="2342"/>
      <c r="AG37" s="780"/>
      <c r="AH37" s="790"/>
      <c r="AI37" s="794"/>
      <c r="AJ37" s="2342"/>
      <c r="AK37" s="780"/>
      <c r="AL37" s="790"/>
    </row>
    <row r="38" spans="1:42">
      <c r="A38" s="1042" t="s">
        <v>615</v>
      </c>
      <c r="B38" s="1450" t="s">
        <v>318</v>
      </c>
      <c r="C38" s="2169">
        <v>11</v>
      </c>
      <c r="D38" s="2378">
        <v>11</v>
      </c>
      <c r="E38" s="780"/>
      <c r="F38" s="790"/>
      <c r="G38" s="794"/>
      <c r="H38" s="2342"/>
      <c r="I38" s="780"/>
      <c r="J38" s="790"/>
      <c r="K38" s="794"/>
      <c r="L38" s="2342"/>
      <c r="M38" s="780"/>
      <c r="N38" s="790"/>
      <c r="O38" s="2169">
        <v>1</v>
      </c>
      <c r="P38" s="2169">
        <v>1</v>
      </c>
      <c r="Q38" s="780"/>
      <c r="R38" s="790"/>
      <c r="S38" s="780"/>
      <c r="T38" s="790"/>
      <c r="U38" s="794"/>
      <c r="V38" s="2342"/>
      <c r="W38" s="780"/>
      <c r="X38" s="790"/>
      <c r="Y38" s="794"/>
      <c r="Z38" s="2342"/>
      <c r="AA38" s="2169">
        <v>2</v>
      </c>
      <c r="AB38" s="2378">
        <v>2</v>
      </c>
      <c r="AC38" s="780"/>
      <c r="AD38" s="790"/>
      <c r="AE38" s="794"/>
      <c r="AF38" s="2342"/>
      <c r="AG38" s="780"/>
      <c r="AH38" s="790"/>
      <c r="AI38" s="794"/>
      <c r="AJ38" s="2342"/>
      <c r="AK38" s="780"/>
      <c r="AL38" s="790"/>
    </row>
    <row r="39" spans="1:42">
      <c r="A39" s="1042" t="s">
        <v>616</v>
      </c>
      <c r="B39" s="1450" t="s">
        <v>319</v>
      </c>
      <c r="C39" s="2169">
        <v>24</v>
      </c>
      <c r="D39" s="2378">
        <v>20</v>
      </c>
      <c r="E39" s="780"/>
      <c r="F39" s="790"/>
      <c r="G39" s="794"/>
      <c r="H39" s="2342"/>
      <c r="I39" s="780"/>
      <c r="J39" s="790"/>
      <c r="K39" s="794"/>
      <c r="L39" s="2342"/>
      <c r="M39" s="780"/>
      <c r="N39" s="790"/>
      <c r="O39" s="2169">
        <v>3</v>
      </c>
      <c r="P39" s="2169">
        <v>3</v>
      </c>
      <c r="Q39" s="780"/>
      <c r="R39" s="790"/>
      <c r="S39" s="780"/>
      <c r="T39" s="790"/>
      <c r="U39" s="794"/>
      <c r="V39" s="2342"/>
      <c r="W39" s="780"/>
      <c r="X39" s="790"/>
      <c r="Y39" s="794"/>
      <c r="Z39" s="2342"/>
      <c r="AA39" s="2169">
        <v>5</v>
      </c>
      <c r="AB39" s="2378">
        <v>5</v>
      </c>
      <c r="AC39" s="780"/>
      <c r="AD39" s="790"/>
      <c r="AE39" s="794"/>
      <c r="AF39" s="2342"/>
      <c r="AG39" s="780"/>
      <c r="AH39" s="790"/>
      <c r="AI39" s="794"/>
      <c r="AJ39" s="2342"/>
      <c r="AK39" s="780"/>
      <c r="AL39" s="790"/>
    </row>
    <row r="40" spans="1:42">
      <c r="A40" s="1042" t="s">
        <v>617</v>
      </c>
      <c r="B40" s="1450" t="s">
        <v>618</v>
      </c>
      <c r="C40" s="2169"/>
      <c r="D40" s="2378"/>
      <c r="E40" s="780"/>
      <c r="F40" s="790"/>
      <c r="G40" s="794"/>
      <c r="H40" s="2342"/>
      <c r="I40" s="780"/>
      <c r="J40" s="790"/>
      <c r="K40" s="794"/>
      <c r="L40" s="2342"/>
      <c r="M40" s="780"/>
      <c r="N40" s="790"/>
      <c r="O40" s="2169">
        <v>1</v>
      </c>
      <c r="P40" s="2169">
        <v>1</v>
      </c>
      <c r="Q40" s="780"/>
      <c r="R40" s="790"/>
      <c r="S40" s="780"/>
      <c r="T40" s="790"/>
      <c r="U40" s="794"/>
      <c r="V40" s="2342"/>
      <c r="W40" s="780"/>
      <c r="X40" s="790"/>
      <c r="Y40" s="794"/>
      <c r="Z40" s="2342"/>
      <c r="AA40" s="2169">
        <v>3</v>
      </c>
      <c r="AB40" s="2378">
        <v>3</v>
      </c>
      <c r="AC40" s="780"/>
      <c r="AD40" s="790"/>
      <c r="AE40" s="794"/>
      <c r="AF40" s="2342"/>
      <c r="AG40" s="780"/>
      <c r="AH40" s="790"/>
      <c r="AI40" s="794"/>
      <c r="AJ40" s="2342"/>
      <c r="AK40" s="780"/>
      <c r="AL40" s="790"/>
      <c r="AM40" s="490"/>
      <c r="AN40" s="357"/>
      <c r="AO40" s="357"/>
      <c r="AP40" s="357"/>
    </row>
    <row r="41" spans="1:42">
      <c r="A41" s="1042" t="s">
        <v>316</v>
      </c>
      <c r="B41" s="1452" t="s">
        <v>321</v>
      </c>
      <c r="C41" s="2169">
        <v>303</v>
      </c>
      <c r="D41" s="2378">
        <v>303</v>
      </c>
      <c r="E41" s="780">
        <v>83</v>
      </c>
      <c r="F41" s="790"/>
      <c r="G41" s="794">
        <v>83</v>
      </c>
      <c r="H41" s="2342"/>
      <c r="I41" s="780">
        <v>83</v>
      </c>
      <c r="J41" s="790"/>
      <c r="K41" s="794">
        <v>130</v>
      </c>
      <c r="L41" s="2342"/>
      <c r="M41" s="780">
        <v>130</v>
      </c>
      <c r="N41" s="790"/>
      <c r="O41" s="2169">
        <v>20</v>
      </c>
      <c r="P41" s="2169">
        <v>20</v>
      </c>
      <c r="Q41" s="780"/>
      <c r="R41" s="790"/>
      <c r="S41" s="780"/>
      <c r="T41" s="790"/>
      <c r="U41" s="794"/>
      <c r="V41" s="2342"/>
      <c r="W41" s="780"/>
      <c r="X41" s="790"/>
      <c r="Y41" s="794"/>
      <c r="Z41" s="2342"/>
      <c r="AA41" s="2169">
        <v>32</v>
      </c>
      <c r="AB41" s="2378">
        <v>32</v>
      </c>
      <c r="AC41" s="780"/>
      <c r="AD41" s="790"/>
      <c r="AE41" s="794">
        <v>3</v>
      </c>
      <c r="AF41" s="2342"/>
      <c r="AG41" s="780">
        <v>3</v>
      </c>
      <c r="AH41" s="790"/>
      <c r="AI41" s="794">
        <v>16</v>
      </c>
      <c r="AJ41" s="2342"/>
      <c r="AK41" s="780">
        <v>16</v>
      </c>
      <c r="AL41" s="790"/>
      <c r="AM41" s="490"/>
      <c r="AN41" s="357"/>
      <c r="AO41" s="357"/>
      <c r="AP41" s="357"/>
    </row>
    <row r="42" spans="1:42">
      <c r="A42" s="1042" t="s">
        <v>320</v>
      </c>
      <c r="B42" s="1452" t="s">
        <v>323</v>
      </c>
      <c r="C42" s="2169">
        <v>61</v>
      </c>
      <c r="D42" s="2378">
        <v>65</v>
      </c>
      <c r="E42" s="780"/>
      <c r="F42" s="790"/>
      <c r="G42" s="794"/>
      <c r="H42" s="2342"/>
      <c r="I42" s="780">
        <v>1</v>
      </c>
      <c r="J42" s="790"/>
      <c r="K42" s="794">
        <v>7</v>
      </c>
      <c r="L42" s="2342"/>
      <c r="M42" s="780">
        <v>7</v>
      </c>
      <c r="N42" s="790"/>
      <c r="O42" s="2169">
        <v>8</v>
      </c>
      <c r="P42" s="2169">
        <v>8</v>
      </c>
      <c r="Q42" s="780"/>
      <c r="R42" s="790"/>
      <c r="S42" s="780"/>
      <c r="T42" s="790"/>
      <c r="U42" s="794"/>
      <c r="V42" s="2342"/>
      <c r="W42" s="780">
        <v>1</v>
      </c>
      <c r="X42" s="790"/>
      <c r="Y42" s="794">
        <v>1</v>
      </c>
      <c r="Z42" s="2342"/>
      <c r="AA42" s="2169">
        <v>7</v>
      </c>
      <c r="AB42" s="2378">
        <v>7</v>
      </c>
      <c r="AC42" s="780"/>
      <c r="AD42" s="790"/>
      <c r="AE42" s="794"/>
      <c r="AF42" s="2342"/>
      <c r="AG42" s="780"/>
      <c r="AH42" s="790"/>
      <c r="AI42" s="794"/>
      <c r="AJ42" s="2342"/>
      <c r="AK42" s="780"/>
      <c r="AL42" s="790"/>
      <c r="AM42" s="490"/>
      <c r="AN42" s="357"/>
      <c r="AO42" s="357"/>
      <c r="AP42" s="357"/>
    </row>
    <row r="43" spans="1:42">
      <c r="A43" s="1042" t="s">
        <v>322</v>
      </c>
      <c r="B43" s="1451" t="s">
        <v>846</v>
      </c>
      <c r="C43" s="2169">
        <v>23</v>
      </c>
      <c r="D43" s="2378">
        <v>23</v>
      </c>
      <c r="E43" s="780"/>
      <c r="F43" s="790"/>
      <c r="G43" s="794"/>
      <c r="H43" s="2342"/>
      <c r="I43" s="780"/>
      <c r="J43" s="790"/>
      <c r="K43" s="794">
        <v>6</v>
      </c>
      <c r="L43" s="2342"/>
      <c r="M43" s="780">
        <v>6</v>
      </c>
      <c r="N43" s="790"/>
      <c r="O43" s="2169"/>
      <c r="P43" s="2169"/>
      <c r="Q43" s="780"/>
      <c r="R43" s="790"/>
      <c r="S43" s="780"/>
      <c r="T43" s="790"/>
      <c r="U43" s="794"/>
      <c r="V43" s="2342"/>
      <c r="W43" s="780"/>
      <c r="X43" s="790"/>
      <c r="Y43" s="794"/>
      <c r="Z43" s="2342"/>
      <c r="AA43" s="2169"/>
      <c r="AB43" s="2378"/>
      <c r="AC43" s="780"/>
      <c r="AD43" s="790"/>
      <c r="AE43" s="794"/>
      <c r="AF43" s="2342"/>
      <c r="AG43" s="780"/>
      <c r="AH43" s="790"/>
      <c r="AI43" s="794"/>
      <c r="AJ43" s="2342"/>
      <c r="AK43" s="780"/>
      <c r="AL43" s="790"/>
      <c r="AM43" s="490"/>
      <c r="AN43" s="357"/>
      <c r="AO43" s="357"/>
      <c r="AP43" s="357"/>
    </row>
    <row r="44" spans="1:42">
      <c r="A44" s="1042" t="s">
        <v>324</v>
      </c>
      <c r="B44" s="1451" t="s">
        <v>919</v>
      </c>
      <c r="C44" s="2169">
        <v>35</v>
      </c>
      <c r="D44" s="2378">
        <v>35</v>
      </c>
      <c r="E44" s="780"/>
      <c r="F44" s="790"/>
      <c r="G44" s="794"/>
      <c r="H44" s="2342"/>
      <c r="I44" s="780"/>
      <c r="J44" s="790"/>
      <c r="K44" s="794">
        <v>11</v>
      </c>
      <c r="L44" s="2342"/>
      <c r="M44" s="780">
        <v>11</v>
      </c>
      <c r="N44" s="790"/>
      <c r="O44" s="2169">
        <v>1</v>
      </c>
      <c r="P44" s="2169">
        <v>1</v>
      </c>
      <c r="Q44" s="780"/>
      <c r="R44" s="790"/>
      <c r="S44" s="780"/>
      <c r="T44" s="790"/>
      <c r="U44" s="794"/>
      <c r="V44" s="2342"/>
      <c r="W44" s="780"/>
      <c r="X44" s="790"/>
      <c r="Y44" s="794"/>
      <c r="Z44" s="2342"/>
      <c r="AA44" s="2169">
        <v>9</v>
      </c>
      <c r="AB44" s="2378">
        <v>9</v>
      </c>
      <c r="AC44" s="780"/>
      <c r="AD44" s="790"/>
      <c r="AE44" s="794"/>
      <c r="AF44" s="2342"/>
      <c r="AG44" s="780"/>
      <c r="AH44" s="790"/>
      <c r="AI44" s="794"/>
      <c r="AJ44" s="2342"/>
      <c r="AK44" s="780"/>
      <c r="AL44" s="790"/>
      <c r="AM44" s="490"/>
      <c r="AN44" s="357"/>
      <c r="AO44" s="357"/>
      <c r="AP44" s="357"/>
    </row>
    <row r="45" spans="1:42">
      <c r="A45" s="1042" t="s">
        <v>326</v>
      </c>
      <c r="B45" s="1041" t="s">
        <v>619</v>
      </c>
      <c r="C45" s="2169">
        <v>26</v>
      </c>
      <c r="D45" s="2378">
        <v>30</v>
      </c>
      <c r="E45" s="780"/>
      <c r="F45" s="790"/>
      <c r="G45" s="794"/>
      <c r="H45" s="2342"/>
      <c r="I45" s="780"/>
      <c r="J45" s="790"/>
      <c r="K45" s="794">
        <v>2</v>
      </c>
      <c r="L45" s="2342"/>
      <c r="M45" s="780">
        <v>2</v>
      </c>
      <c r="N45" s="790"/>
      <c r="O45" s="2169">
        <v>2</v>
      </c>
      <c r="P45" s="2169">
        <v>2</v>
      </c>
      <c r="Q45" s="780"/>
      <c r="R45" s="790"/>
      <c r="S45" s="780"/>
      <c r="T45" s="790"/>
      <c r="U45" s="794"/>
      <c r="V45" s="2342"/>
      <c r="W45" s="780"/>
      <c r="X45" s="790"/>
      <c r="Y45" s="794"/>
      <c r="Z45" s="2342"/>
      <c r="AA45" s="2169">
        <v>6</v>
      </c>
      <c r="AB45" s="2378">
        <v>6</v>
      </c>
      <c r="AC45" s="780"/>
      <c r="AD45" s="790"/>
      <c r="AE45" s="794"/>
      <c r="AF45" s="2342"/>
      <c r="AG45" s="780"/>
      <c r="AH45" s="790"/>
      <c r="AI45" s="794"/>
      <c r="AJ45" s="2342"/>
      <c r="AK45" s="780"/>
      <c r="AL45" s="790"/>
    </row>
    <row r="46" spans="1:42">
      <c r="A46" s="1042" t="s">
        <v>620</v>
      </c>
      <c r="B46" s="1451" t="s">
        <v>859</v>
      </c>
      <c r="C46" s="2169">
        <v>641</v>
      </c>
      <c r="D46" s="2378">
        <v>650</v>
      </c>
      <c r="E46" s="780"/>
      <c r="F46" s="790"/>
      <c r="G46" s="794"/>
      <c r="H46" s="2342"/>
      <c r="I46" s="780">
        <v>29</v>
      </c>
      <c r="J46" s="790"/>
      <c r="K46" s="794">
        <v>78</v>
      </c>
      <c r="L46" s="2342"/>
      <c r="M46" s="780">
        <v>78</v>
      </c>
      <c r="N46" s="790"/>
      <c r="O46" s="2169">
        <v>59</v>
      </c>
      <c r="P46" s="2169">
        <v>70</v>
      </c>
      <c r="Q46" s="780">
        <v>24.55</v>
      </c>
      <c r="R46" s="790"/>
      <c r="S46" s="780">
        <v>25.49</v>
      </c>
      <c r="T46" s="790"/>
      <c r="U46" s="794">
        <v>33</v>
      </c>
      <c r="V46" s="2342"/>
      <c r="W46" s="780">
        <v>50.7</v>
      </c>
      <c r="X46" s="790"/>
      <c r="Y46" s="794">
        <v>50.54</v>
      </c>
      <c r="Z46" s="2342"/>
      <c r="AA46" s="2169">
        <v>27</v>
      </c>
      <c r="AB46" s="2378">
        <v>24</v>
      </c>
      <c r="AC46" s="780"/>
      <c r="AD46" s="790"/>
      <c r="AE46" s="794"/>
      <c r="AF46" s="2342"/>
      <c r="AG46" s="780"/>
      <c r="AH46" s="790"/>
      <c r="AI46" s="794"/>
      <c r="AJ46" s="2342"/>
      <c r="AK46" s="780"/>
      <c r="AL46" s="790"/>
    </row>
    <row r="47" spans="1:42">
      <c r="A47" s="1056">
        <v>2.15</v>
      </c>
      <c r="B47" s="1451" t="s">
        <v>847</v>
      </c>
      <c r="C47" s="2934"/>
      <c r="D47" s="2935"/>
      <c r="E47" s="2935"/>
      <c r="F47" s="2936"/>
      <c r="G47" s="2935"/>
      <c r="H47" s="2936"/>
      <c r="I47" s="2935"/>
      <c r="J47" s="2936"/>
      <c r="K47" s="2935"/>
      <c r="L47" s="2936"/>
      <c r="M47" s="2935"/>
      <c r="N47" s="2936"/>
      <c r="O47" s="2934"/>
      <c r="P47" s="2935"/>
      <c r="Q47" s="2937"/>
      <c r="R47" s="2934"/>
      <c r="S47" s="2937"/>
      <c r="T47" s="2934"/>
      <c r="U47" s="2937"/>
      <c r="V47" s="2934"/>
      <c r="W47" s="2937"/>
      <c r="X47" s="2934"/>
      <c r="Y47" s="2937"/>
      <c r="Z47" s="2934"/>
      <c r="AA47" s="2169">
        <v>20</v>
      </c>
      <c r="AB47" s="2378"/>
      <c r="AC47" s="780"/>
      <c r="AD47" s="3020">
        <v>-20</v>
      </c>
      <c r="AE47" s="794"/>
      <c r="AF47" s="2342">
        <v>-20</v>
      </c>
      <c r="AG47" s="780"/>
      <c r="AH47" s="790">
        <v>-20</v>
      </c>
      <c r="AI47" s="794"/>
      <c r="AJ47" s="2342">
        <v>-20</v>
      </c>
      <c r="AK47" s="780"/>
      <c r="AL47" s="790">
        <v>-20</v>
      </c>
    </row>
    <row r="48" spans="1:42">
      <c r="A48" s="1057">
        <v>2.16</v>
      </c>
      <c r="B48" s="1043" t="s">
        <v>1000</v>
      </c>
      <c r="C48" s="2938"/>
      <c r="D48" s="2935"/>
      <c r="E48" s="2935"/>
      <c r="F48" s="2936"/>
      <c r="G48" s="2935"/>
      <c r="H48" s="2936"/>
      <c r="I48" s="2935"/>
      <c r="J48" s="2936"/>
      <c r="K48" s="2935"/>
      <c r="L48" s="2936"/>
      <c r="M48" s="2935"/>
      <c r="N48" s="2936"/>
      <c r="O48" s="2938"/>
      <c r="P48" s="2935"/>
      <c r="Q48" s="2937"/>
      <c r="R48" s="2934"/>
      <c r="S48" s="2937"/>
      <c r="T48" s="2934"/>
      <c r="U48" s="2937"/>
      <c r="V48" s="2934"/>
      <c r="W48" s="2937"/>
      <c r="X48" s="2934"/>
      <c r="Y48" s="2937"/>
      <c r="Z48" s="2934"/>
      <c r="AA48" s="2169"/>
      <c r="AB48" s="2378"/>
      <c r="AC48" s="780"/>
      <c r="AD48" s="790"/>
      <c r="AE48" s="794"/>
      <c r="AF48" s="2342"/>
      <c r="AG48" s="780"/>
      <c r="AH48" s="790"/>
      <c r="AI48" s="794"/>
      <c r="AJ48" s="2342"/>
      <c r="AK48" s="780"/>
      <c r="AL48" s="790"/>
    </row>
    <row r="49" spans="1:42">
      <c r="A49" s="1057">
        <v>2.17</v>
      </c>
      <c r="B49" s="1043" t="s">
        <v>621</v>
      </c>
      <c r="C49" s="1044">
        <f>SUM(C50:C52)</f>
        <v>71</v>
      </c>
      <c r="D49" s="1173">
        <f>SUM(D50:D52)</f>
        <v>70</v>
      </c>
      <c r="E49" s="1045">
        <f t="shared" ref="E49:N49" si="14">SUM(E50:E52)</f>
        <v>0</v>
      </c>
      <c r="F49" s="1046">
        <f t="shared" si="14"/>
        <v>0</v>
      </c>
      <c r="G49" s="1045">
        <f t="shared" si="14"/>
        <v>0</v>
      </c>
      <c r="H49" s="1046">
        <f t="shared" si="14"/>
        <v>0</v>
      </c>
      <c r="I49" s="1045">
        <f t="shared" si="14"/>
        <v>1</v>
      </c>
      <c r="J49" s="1046">
        <f t="shared" si="14"/>
        <v>0</v>
      </c>
      <c r="K49" s="1045">
        <f t="shared" si="14"/>
        <v>18</v>
      </c>
      <c r="L49" s="1046">
        <f t="shared" si="14"/>
        <v>0</v>
      </c>
      <c r="M49" s="1045">
        <f t="shared" si="14"/>
        <v>18</v>
      </c>
      <c r="N49" s="1046">
        <f t="shared" si="14"/>
        <v>0</v>
      </c>
      <c r="O49" s="1044">
        <f>SUM(O50:O52)</f>
        <v>18</v>
      </c>
      <c r="P49" s="1173">
        <f>SUM(P50:P52)</f>
        <v>15</v>
      </c>
      <c r="Q49" s="1045">
        <f t="shared" ref="Q49:Z49" si="15">SUM(Q50:Q52)</f>
        <v>0</v>
      </c>
      <c r="R49" s="1046">
        <f t="shared" si="15"/>
        <v>0</v>
      </c>
      <c r="S49" s="1045">
        <f t="shared" si="15"/>
        <v>0</v>
      </c>
      <c r="T49" s="1046">
        <f t="shared" si="15"/>
        <v>0</v>
      </c>
      <c r="U49" s="1045">
        <f t="shared" si="15"/>
        <v>0</v>
      </c>
      <c r="V49" s="1046">
        <f t="shared" si="15"/>
        <v>0</v>
      </c>
      <c r="W49" s="1045">
        <f t="shared" si="15"/>
        <v>2</v>
      </c>
      <c r="X49" s="1046">
        <f t="shared" si="15"/>
        <v>0</v>
      </c>
      <c r="Y49" s="1045">
        <f t="shared" si="15"/>
        <v>2</v>
      </c>
      <c r="Z49" s="1046">
        <f t="shared" si="15"/>
        <v>0</v>
      </c>
      <c r="AA49" s="1044">
        <f>SUM(AA50:AA52)</f>
        <v>10</v>
      </c>
      <c r="AB49" s="1173">
        <f>SUM(AB50:AB52)</f>
        <v>12</v>
      </c>
      <c r="AC49" s="1045">
        <f t="shared" ref="AC49:AL49" si="16">SUM(AC50:AC52)</f>
        <v>0</v>
      </c>
      <c r="AD49" s="1046">
        <f t="shared" si="16"/>
        <v>0</v>
      </c>
      <c r="AE49" s="1045">
        <f t="shared" si="16"/>
        <v>0</v>
      </c>
      <c r="AF49" s="1046">
        <f t="shared" si="16"/>
        <v>0</v>
      </c>
      <c r="AG49" s="1045">
        <f t="shared" si="16"/>
        <v>0</v>
      </c>
      <c r="AH49" s="1046">
        <f t="shared" si="16"/>
        <v>0</v>
      </c>
      <c r="AI49" s="1045">
        <f t="shared" si="16"/>
        <v>0</v>
      </c>
      <c r="AJ49" s="1046">
        <f t="shared" si="16"/>
        <v>0</v>
      </c>
      <c r="AK49" s="1045">
        <f t="shared" si="16"/>
        <v>0</v>
      </c>
      <c r="AL49" s="1046">
        <f t="shared" si="16"/>
        <v>0</v>
      </c>
    </row>
    <row r="50" spans="1:42">
      <c r="A50" s="487" t="s">
        <v>1002</v>
      </c>
      <c r="B50" s="790"/>
      <c r="C50" s="2169">
        <v>71</v>
      </c>
      <c r="D50" s="2378">
        <v>70</v>
      </c>
      <c r="E50" s="780"/>
      <c r="F50" s="790"/>
      <c r="G50" s="794"/>
      <c r="H50" s="2342"/>
      <c r="I50" s="780">
        <v>1</v>
      </c>
      <c r="J50" s="790"/>
      <c r="K50" s="794">
        <v>18</v>
      </c>
      <c r="L50" s="2342"/>
      <c r="M50" s="780">
        <v>18</v>
      </c>
      <c r="N50" s="790"/>
      <c r="O50" s="2169">
        <v>18</v>
      </c>
      <c r="P50" s="2169">
        <v>15</v>
      </c>
      <c r="Q50" s="780"/>
      <c r="R50" s="790"/>
      <c r="S50" s="780"/>
      <c r="T50" s="790"/>
      <c r="U50" s="794"/>
      <c r="V50" s="2342"/>
      <c r="W50" s="780">
        <v>2</v>
      </c>
      <c r="X50" s="790"/>
      <c r="Y50" s="794">
        <v>2</v>
      </c>
      <c r="Z50" s="2342"/>
      <c r="AA50" s="2169">
        <v>10</v>
      </c>
      <c r="AB50" s="2378">
        <v>12</v>
      </c>
      <c r="AC50" s="780"/>
      <c r="AD50" s="790"/>
      <c r="AE50" s="794"/>
      <c r="AF50" s="2342"/>
      <c r="AG50" s="780"/>
      <c r="AH50" s="790"/>
      <c r="AI50" s="794"/>
      <c r="AJ50" s="2342"/>
      <c r="AK50" s="780"/>
      <c r="AL50" s="790"/>
    </row>
    <row r="51" spans="1:42">
      <c r="A51" s="488" t="s">
        <v>1003</v>
      </c>
      <c r="B51" s="790"/>
      <c r="C51" s="2169"/>
      <c r="D51" s="2378"/>
      <c r="E51" s="780"/>
      <c r="F51" s="790"/>
      <c r="G51" s="794"/>
      <c r="H51" s="2342"/>
      <c r="I51" s="780"/>
      <c r="J51" s="790"/>
      <c r="K51" s="794"/>
      <c r="L51" s="2342"/>
      <c r="M51" s="780"/>
      <c r="N51" s="790"/>
      <c r="O51" s="2169"/>
      <c r="P51" s="2169"/>
      <c r="Q51" s="780"/>
      <c r="R51" s="790"/>
      <c r="S51" s="780"/>
      <c r="T51" s="790"/>
      <c r="U51" s="794"/>
      <c r="V51" s="2342"/>
      <c r="W51" s="780"/>
      <c r="X51" s="790"/>
      <c r="Y51" s="794"/>
      <c r="Z51" s="2342"/>
      <c r="AA51" s="2169"/>
      <c r="AB51" s="2378"/>
      <c r="AC51" s="780"/>
      <c r="AD51" s="790"/>
      <c r="AE51" s="794"/>
      <c r="AF51" s="2342"/>
      <c r="AG51" s="780"/>
      <c r="AH51" s="790"/>
      <c r="AI51" s="794"/>
      <c r="AJ51" s="2342"/>
      <c r="AK51" s="780"/>
      <c r="AL51" s="790"/>
    </row>
    <row r="52" spans="1:42" ht="15.75" thickBot="1">
      <c r="A52" s="1058" t="s">
        <v>1004</v>
      </c>
      <c r="B52" s="790"/>
      <c r="C52" s="2169"/>
      <c r="D52" s="2378"/>
      <c r="E52" s="780"/>
      <c r="F52" s="790"/>
      <c r="G52" s="794"/>
      <c r="H52" s="2342"/>
      <c r="I52" s="780"/>
      <c r="J52" s="790"/>
      <c r="K52" s="794"/>
      <c r="L52" s="2342"/>
      <c r="M52" s="780"/>
      <c r="N52" s="790"/>
      <c r="O52" s="2169"/>
      <c r="P52" s="2169"/>
      <c r="Q52" s="780"/>
      <c r="R52" s="790"/>
      <c r="S52" s="780"/>
      <c r="T52" s="790"/>
      <c r="U52" s="794"/>
      <c r="V52" s="2342"/>
      <c r="W52" s="780"/>
      <c r="X52" s="790"/>
      <c r="Y52" s="794"/>
      <c r="Z52" s="2342"/>
      <c r="AA52" s="2169"/>
      <c r="AB52" s="2378"/>
      <c r="AC52" s="780"/>
      <c r="AD52" s="790"/>
      <c r="AE52" s="794"/>
      <c r="AF52" s="2342"/>
      <c r="AG52" s="780"/>
      <c r="AH52" s="790"/>
      <c r="AI52" s="794"/>
      <c r="AJ52" s="2342"/>
      <c r="AK52" s="780"/>
      <c r="AL52" s="790"/>
    </row>
    <row r="53" spans="1:42" ht="15.75" thickBot="1">
      <c r="A53" s="1059">
        <v>3</v>
      </c>
      <c r="B53" s="1060" t="s">
        <v>622</v>
      </c>
      <c r="C53" s="1052">
        <f>SUM(C54:C56)</f>
        <v>0</v>
      </c>
      <c r="D53" s="1080">
        <f>SUM(D54:D56)</f>
        <v>0</v>
      </c>
      <c r="E53" s="1053">
        <f t="shared" ref="E53:N53" si="17">SUM(E54:E56)</f>
        <v>0</v>
      </c>
      <c r="F53" s="1054">
        <f t="shared" si="17"/>
        <v>0</v>
      </c>
      <c r="G53" s="1053">
        <f t="shared" si="17"/>
        <v>0</v>
      </c>
      <c r="H53" s="1054">
        <f t="shared" si="17"/>
        <v>0</v>
      </c>
      <c r="I53" s="1053">
        <f t="shared" si="17"/>
        <v>0</v>
      </c>
      <c r="J53" s="1054">
        <f t="shared" si="17"/>
        <v>0</v>
      </c>
      <c r="K53" s="1053">
        <f t="shared" si="17"/>
        <v>0</v>
      </c>
      <c r="L53" s="1054">
        <f t="shared" si="17"/>
        <v>0</v>
      </c>
      <c r="M53" s="1053">
        <f t="shared" si="17"/>
        <v>0</v>
      </c>
      <c r="N53" s="1054">
        <f t="shared" si="17"/>
        <v>0</v>
      </c>
      <c r="O53" s="1052">
        <f>SUM(O54:O56)</f>
        <v>0</v>
      </c>
      <c r="P53" s="1080">
        <f>SUM(P54:P56)</f>
        <v>0</v>
      </c>
      <c r="Q53" s="1053">
        <f t="shared" ref="Q53:Z53" si="18">SUM(Q54:Q56)</f>
        <v>0</v>
      </c>
      <c r="R53" s="1054">
        <f t="shared" si="18"/>
        <v>0</v>
      </c>
      <c r="S53" s="1053">
        <f t="shared" si="18"/>
        <v>0</v>
      </c>
      <c r="T53" s="1054">
        <f t="shared" si="18"/>
        <v>0</v>
      </c>
      <c r="U53" s="1053">
        <f t="shared" si="18"/>
        <v>0</v>
      </c>
      <c r="V53" s="1054">
        <f t="shared" si="18"/>
        <v>0</v>
      </c>
      <c r="W53" s="1053">
        <f t="shared" si="18"/>
        <v>0</v>
      </c>
      <c r="X53" s="1054">
        <f t="shared" si="18"/>
        <v>0</v>
      </c>
      <c r="Y53" s="1053">
        <f t="shared" si="18"/>
        <v>0</v>
      </c>
      <c r="Z53" s="1054">
        <f t="shared" si="18"/>
        <v>0</v>
      </c>
      <c r="AA53" s="1052">
        <f>SUM(AA54:AA56)</f>
        <v>0</v>
      </c>
      <c r="AB53" s="1080">
        <f>SUM(AB54:AB56)</f>
        <v>0</v>
      </c>
      <c r="AC53" s="1053">
        <f t="shared" ref="AC53:AL53" si="19">SUM(AC54:AC56)</f>
        <v>0</v>
      </c>
      <c r="AD53" s="1054">
        <f t="shared" si="19"/>
        <v>0</v>
      </c>
      <c r="AE53" s="1053">
        <f t="shared" si="19"/>
        <v>0</v>
      </c>
      <c r="AF53" s="1054">
        <f t="shared" si="19"/>
        <v>0</v>
      </c>
      <c r="AG53" s="1053">
        <f t="shared" si="19"/>
        <v>0</v>
      </c>
      <c r="AH53" s="1054">
        <f t="shared" si="19"/>
        <v>0</v>
      </c>
      <c r="AI53" s="1053">
        <f t="shared" si="19"/>
        <v>0</v>
      </c>
      <c r="AJ53" s="1054">
        <f t="shared" si="19"/>
        <v>0</v>
      </c>
      <c r="AK53" s="1053">
        <f t="shared" si="19"/>
        <v>0</v>
      </c>
      <c r="AL53" s="1054">
        <f t="shared" si="19"/>
        <v>0</v>
      </c>
      <c r="AM53" s="490"/>
      <c r="AN53" s="357"/>
      <c r="AO53" s="357"/>
      <c r="AP53" s="357"/>
    </row>
    <row r="54" spans="1:42">
      <c r="A54" s="1061" t="s">
        <v>327</v>
      </c>
      <c r="B54" s="1062" t="s">
        <v>623</v>
      </c>
      <c r="C54" s="2925"/>
      <c r="D54" s="2926"/>
      <c r="E54" s="2926"/>
      <c r="F54" s="2927"/>
      <c r="G54" s="2926"/>
      <c r="H54" s="2927"/>
      <c r="I54" s="2926"/>
      <c r="J54" s="2927"/>
      <c r="K54" s="2926"/>
      <c r="L54" s="2927"/>
      <c r="M54" s="2926"/>
      <c r="N54" s="2927"/>
      <c r="O54" s="2925"/>
      <c r="P54" s="2926"/>
      <c r="Q54" s="2926"/>
      <c r="R54" s="2927"/>
      <c r="S54" s="2926"/>
      <c r="T54" s="2927"/>
      <c r="U54" s="2926"/>
      <c r="V54" s="2927"/>
      <c r="W54" s="2926"/>
      <c r="X54" s="2927"/>
      <c r="Y54" s="2926"/>
      <c r="Z54" s="2927"/>
      <c r="AA54" s="2925"/>
      <c r="AB54" s="2926"/>
      <c r="AC54" s="2926"/>
      <c r="AD54" s="2927"/>
      <c r="AE54" s="2926"/>
      <c r="AF54" s="2927"/>
      <c r="AG54" s="2926"/>
      <c r="AH54" s="2927"/>
      <c r="AI54" s="2926"/>
      <c r="AJ54" s="2927"/>
      <c r="AK54" s="2926"/>
      <c r="AL54" s="2927"/>
      <c r="AM54" s="493"/>
      <c r="AN54" s="350"/>
      <c r="AO54" s="350"/>
      <c r="AP54" s="350"/>
    </row>
    <row r="55" spans="1:42" ht="24">
      <c r="A55" s="1063" t="s">
        <v>328</v>
      </c>
      <c r="B55" s="1062" t="s">
        <v>1005</v>
      </c>
      <c r="C55" s="2928"/>
      <c r="D55" s="2929"/>
      <c r="E55" s="2929"/>
      <c r="F55" s="2930"/>
      <c r="G55" s="2929"/>
      <c r="H55" s="2930"/>
      <c r="I55" s="2929"/>
      <c r="J55" s="2930"/>
      <c r="K55" s="2929"/>
      <c r="L55" s="2930"/>
      <c r="M55" s="2929"/>
      <c r="N55" s="2930"/>
      <c r="O55" s="2928"/>
      <c r="P55" s="2929"/>
      <c r="Q55" s="2929"/>
      <c r="R55" s="2930"/>
      <c r="S55" s="2929"/>
      <c r="T55" s="2930"/>
      <c r="U55" s="2929"/>
      <c r="V55" s="2930"/>
      <c r="W55" s="2929"/>
      <c r="X55" s="2930"/>
      <c r="Y55" s="2929"/>
      <c r="Z55" s="2930"/>
      <c r="AA55" s="2928"/>
      <c r="AB55" s="2929"/>
      <c r="AC55" s="2929"/>
      <c r="AD55" s="2930"/>
      <c r="AE55" s="2929"/>
      <c r="AF55" s="2930"/>
      <c r="AG55" s="2929"/>
      <c r="AH55" s="2930"/>
      <c r="AI55" s="2929"/>
      <c r="AJ55" s="2930"/>
      <c r="AK55" s="2929"/>
      <c r="AL55" s="2930"/>
      <c r="AM55" s="493"/>
      <c r="AN55" s="350"/>
      <c r="AO55" s="350"/>
      <c r="AP55" s="350"/>
    </row>
    <row r="56" spans="1:42" ht="24.75" thickBot="1">
      <c r="A56" s="1064" t="s">
        <v>675</v>
      </c>
      <c r="B56" s="1065" t="s">
        <v>1006</v>
      </c>
      <c r="C56" s="2931"/>
      <c r="D56" s="2932"/>
      <c r="E56" s="2932"/>
      <c r="F56" s="2933"/>
      <c r="G56" s="2932"/>
      <c r="H56" s="2933"/>
      <c r="I56" s="2932"/>
      <c r="J56" s="2933"/>
      <c r="K56" s="2932"/>
      <c r="L56" s="2933"/>
      <c r="M56" s="2932"/>
      <c r="N56" s="2933"/>
      <c r="O56" s="2931"/>
      <c r="P56" s="2932"/>
      <c r="Q56" s="2932"/>
      <c r="R56" s="2933"/>
      <c r="S56" s="2932"/>
      <c r="T56" s="2933"/>
      <c r="U56" s="2932"/>
      <c r="V56" s="2933"/>
      <c r="W56" s="2932"/>
      <c r="X56" s="2933"/>
      <c r="Y56" s="2932"/>
      <c r="Z56" s="2933"/>
      <c r="AA56" s="2931"/>
      <c r="AB56" s="2932"/>
      <c r="AC56" s="2932"/>
      <c r="AD56" s="2933"/>
      <c r="AE56" s="2932"/>
      <c r="AF56" s="2933"/>
      <c r="AG56" s="2932"/>
      <c r="AH56" s="2933"/>
      <c r="AI56" s="2932"/>
      <c r="AJ56" s="2933"/>
      <c r="AK56" s="2932"/>
      <c r="AL56" s="2933"/>
      <c r="AM56" s="490"/>
      <c r="AN56" s="357"/>
      <c r="AO56" s="357"/>
      <c r="AP56" s="357"/>
    </row>
    <row r="57" spans="1:42" ht="15.75" thickBot="1">
      <c r="A57" s="1059">
        <v>4</v>
      </c>
      <c r="B57" s="1060" t="s">
        <v>624</v>
      </c>
      <c r="C57" s="1052">
        <f>SUM(C58:C60)</f>
        <v>4037</v>
      </c>
      <c r="D57" s="1080">
        <f>SUM(D58:D60)</f>
        <v>4121</v>
      </c>
      <c r="E57" s="1053">
        <f t="shared" ref="E57:N57" si="20">SUM(E58:E60)</f>
        <v>194</v>
      </c>
      <c r="F57" s="1054">
        <f t="shared" si="20"/>
        <v>0</v>
      </c>
      <c r="G57" s="1053">
        <f t="shared" si="20"/>
        <v>310</v>
      </c>
      <c r="H57" s="1054">
        <f t="shared" si="20"/>
        <v>0</v>
      </c>
      <c r="I57" s="1053">
        <f t="shared" si="20"/>
        <v>473</v>
      </c>
      <c r="J57" s="1054">
        <f t="shared" si="20"/>
        <v>0</v>
      </c>
      <c r="K57" s="1053">
        <f t="shared" si="20"/>
        <v>1413</v>
      </c>
      <c r="L57" s="1054">
        <f t="shared" si="20"/>
        <v>0</v>
      </c>
      <c r="M57" s="1053">
        <f t="shared" si="20"/>
        <v>1562</v>
      </c>
      <c r="N57" s="1054">
        <f t="shared" si="20"/>
        <v>0</v>
      </c>
      <c r="O57" s="1052">
        <f>SUM(O58:O60)</f>
        <v>310</v>
      </c>
      <c r="P57" s="1080">
        <f>SUM(P58:P60)</f>
        <v>315</v>
      </c>
      <c r="Q57" s="1053">
        <f t="shared" ref="Q57:Z57" si="21">SUM(Q58:Q60)</f>
        <v>15.3</v>
      </c>
      <c r="R57" s="1054">
        <f t="shared" si="21"/>
        <v>0</v>
      </c>
      <c r="S57" s="1053">
        <f t="shared" si="21"/>
        <v>23.45</v>
      </c>
      <c r="T57" s="1054">
        <f t="shared" si="21"/>
        <v>0</v>
      </c>
      <c r="U57" s="1053">
        <f t="shared" si="21"/>
        <v>57</v>
      </c>
      <c r="V57" s="1054">
        <f t="shared" si="21"/>
        <v>0</v>
      </c>
      <c r="W57" s="1053">
        <f t="shared" si="21"/>
        <v>136.30000000000001</v>
      </c>
      <c r="X57" s="1054">
        <f t="shared" si="21"/>
        <v>0</v>
      </c>
      <c r="Y57" s="1053">
        <f t="shared" si="21"/>
        <v>146.96</v>
      </c>
      <c r="Z57" s="1054">
        <f t="shared" si="21"/>
        <v>0</v>
      </c>
      <c r="AA57" s="1052">
        <f>SUM(AA58:AA60)</f>
        <v>647</v>
      </c>
      <c r="AB57" s="1080">
        <f>SUM(AB58:AB60)</f>
        <v>669</v>
      </c>
      <c r="AC57" s="1053">
        <f t="shared" ref="AC57:AL57" si="22">SUM(AC58:AC60)</f>
        <v>31</v>
      </c>
      <c r="AD57" s="1054">
        <f t="shared" si="22"/>
        <v>0</v>
      </c>
      <c r="AE57" s="1053">
        <f t="shared" si="22"/>
        <v>61</v>
      </c>
      <c r="AF57" s="1054">
        <f t="shared" si="22"/>
        <v>0</v>
      </c>
      <c r="AG57" s="1053">
        <f t="shared" si="22"/>
        <v>355</v>
      </c>
      <c r="AH57" s="1054">
        <f t="shared" si="22"/>
        <v>0</v>
      </c>
      <c r="AI57" s="1053">
        <f t="shared" si="22"/>
        <v>400</v>
      </c>
      <c r="AJ57" s="1054">
        <f t="shared" si="22"/>
        <v>0</v>
      </c>
      <c r="AK57" s="1053">
        <f t="shared" si="22"/>
        <v>435</v>
      </c>
      <c r="AL57" s="1054">
        <f t="shared" si="22"/>
        <v>0</v>
      </c>
      <c r="AM57" s="490"/>
      <c r="AN57" s="357"/>
      <c r="AO57" s="357"/>
      <c r="AP57" s="357"/>
    </row>
    <row r="58" spans="1:42">
      <c r="A58" s="1036" t="s">
        <v>113</v>
      </c>
      <c r="B58" s="1454" t="s">
        <v>329</v>
      </c>
      <c r="C58" s="2169">
        <v>3935</v>
      </c>
      <c r="D58" s="2378">
        <v>4011</v>
      </c>
      <c r="E58" s="780">
        <v>189</v>
      </c>
      <c r="F58" s="790"/>
      <c r="G58" s="794">
        <v>303</v>
      </c>
      <c r="H58" s="2342"/>
      <c r="I58" s="780">
        <v>454</v>
      </c>
      <c r="J58" s="790"/>
      <c r="K58" s="794">
        <v>1391</v>
      </c>
      <c r="L58" s="2342"/>
      <c r="M58" s="780">
        <v>1538</v>
      </c>
      <c r="N58" s="790"/>
      <c r="O58" s="2169">
        <v>304</v>
      </c>
      <c r="P58" s="2169">
        <v>308</v>
      </c>
      <c r="Q58" s="780">
        <v>15</v>
      </c>
      <c r="R58" s="790"/>
      <c r="S58" s="780">
        <v>23</v>
      </c>
      <c r="T58" s="790"/>
      <c r="U58" s="794">
        <v>56</v>
      </c>
      <c r="V58" s="2342"/>
      <c r="W58" s="780">
        <v>135</v>
      </c>
      <c r="X58" s="790"/>
      <c r="Y58" s="794">
        <v>145.5</v>
      </c>
      <c r="Z58" s="2342"/>
      <c r="AA58" s="2169">
        <v>647</v>
      </c>
      <c r="AB58" s="2378">
        <v>669</v>
      </c>
      <c r="AC58" s="780">
        <v>31</v>
      </c>
      <c r="AD58" s="790"/>
      <c r="AE58" s="794">
        <v>61</v>
      </c>
      <c r="AF58" s="2342"/>
      <c r="AG58" s="780">
        <v>355</v>
      </c>
      <c r="AH58" s="790"/>
      <c r="AI58" s="794">
        <v>400</v>
      </c>
      <c r="AJ58" s="2342"/>
      <c r="AK58" s="780">
        <v>435</v>
      </c>
      <c r="AL58" s="790"/>
    </row>
    <row r="59" spans="1:42" ht="19.5" customHeight="1">
      <c r="A59" s="1036" t="s">
        <v>115</v>
      </c>
      <c r="B59" s="1066" t="s">
        <v>858</v>
      </c>
      <c r="C59" s="2169">
        <v>102</v>
      </c>
      <c r="D59" s="2378">
        <v>110</v>
      </c>
      <c r="E59" s="780">
        <v>5</v>
      </c>
      <c r="F59" s="790"/>
      <c r="G59" s="794">
        <v>7</v>
      </c>
      <c r="H59" s="2342"/>
      <c r="I59" s="780">
        <v>8</v>
      </c>
      <c r="J59" s="790"/>
      <c r="K59" s="794">
        <v>11</v>
      </c>
      <c r="L59" s="2342"/>
      <c r="M59" s="780">
        <v>13</v>
      </c>
      <c r="N59" s="790"/>
      <c r="O59" s="2169">
        <v>6</v>
      </c>
      <c r="P59" s="2169">
        <v>7</v>
      </c>
      <c r="Q59" s="780">
        <v>0.3</v>
      </c>
      <c r="R59" s="790"/>
      <c r="S59" s="780">
        <v>0.45</v>
      </c>
      <c r="T59" s="790"/>
      <c r="U59" s="794"/>
      <c r="V59" s="2342"/>
      <c r="W59" s="780">
        <v>0.3</v>
      </c>
      <c r="X59" s="790"/>
      <c r="Y59" s="794">
        <v>0.46</v>
      </c>
      <c r="Z59" s="2342"/>
      <c r="AA59" s="2169"/>
      <c r="AB59" s="2378"/>
      <c r="AC59" s="780"/>
      <c r="AD59" s="790"/>
      <c r="AE59" s="794"/>
      <c r="AF59" s="2342"/>
      <c r="AG59" s="780"/>
      <c r="AH59" s="790"/>
      <c r="AI59" s="794"/>
      <c r="AJ59" s="2342"/>
      <c r="AK59" s="780"/>
      <c r="AL59" s="790"/>
    </row>
    <row r="60" spans="1:42" ht="15.75" thickBot="1">
      <c r="A60" s="1036" t="s">
        <v>116</v>
      </c>
      <c r="B60" s="1455" t="s">
        <v>330</v>
      </c>
      <c r="C60" s="2169"/>
      <c r="D60" s="2378"/>
      <c r="E60" s="780"/>
      <c r="F60" s="790"/>
      <c r="G60" s="794"/>
      <c r="H60" s="2342"/>
      <c r="I60" s="780">
        <v>11</v>
      </c>
      <c r="J60" s="790"/>
      <c r="K60" s="794">
        <v>11</v>
      </c>
      <c r="L60" s="2342"/>
      <c r="M60" s="780">
        <v>11</v>
      </c>
      <c r="N60" s="790"/>
      <c r="O60" s="2169"/>
      <c r="P60" s="2169"/>
      <c r="Q60" s="780"/>
      <c r="R60" s="790"/>
      <c r="S60" s="780"/>
      <c r="T60" s="790"/>
      <c r="U60" s="794">
        <v>1</v>
      </c>
      <c r="V60" s="2342"/>
      <c r="W60" s="780">
        <v>1</v>
      </c>
      <c r="X60" s="790"/>
      <c r="Y60" s="794">
        <v>1</v>
      </c>
      <c r="Z60" s="2342"/>
      <c r="AA60" s="2169"/>
      <c r="AB60" s="2378"/>
      <c r="AC60" s="780"/>
      <c r="AD60" s="790"/>
      <c r="AE60" s="794"/>
      <c r="AF60" s="2342"/>
      <c r="AG60" s="780"/>
      <c r="AH60" s="790"/>
      <c r="AI60" s="794"/>
      <c r="AJ60" s="2342"/>
      <c r="AK60" s="780"/>
      <c r="AL60" s="790"/>
    </row>
    <row r="61" spans="1:42" ht="15.75" thickBot="1">
      <c r="A61" s="1059">
        <v>5</v>
      </c>
      <c r="B61" s="1051" t="s">
        <v>625</v>
      </c>
      <c r="C61" s="1052">
        <f>SUM(C62:C65)</f>
        <v>1922</v>
      </c>
      <c r="D61" s="1080">
        <f>SUM(D62:D65)</f>
        <v>1965</v>
      </c>
      <c r="E61" s="1053">
        <f t="shared" ref="E61:N61" si="23">SUM(E62:E65)</f>
        <v>94</v>
      </c>
      <c r="F61" s="1054">
        <f t="shared" si="23"/>
        <v>0</v>
      </c>
      <c r="G61" s="1053">
        <f t="shared" si="23"/>
        <v>142.5</v>
      </c>
      <c r="H61" s="1054">
        <f t="shared" si="23"/>
        <v>0</v>
      </c>
      <c r="I61" s="1053">
        <f t="shared" si="23"/>
        <v>190</v>
      </c>
      <c r="J61" s="1054">
        <f t="shared" si="23"/>
        <v>0</v>
      </c>
      <c r="K61" s="1053">
        <f t="shared" si="23"/>
        <v>629</v>
      </c>
      <c r="L61" s="1054">
        <f t="shared" si="23"/>
        <v>0</v>
      </c>
      <c r="M61" s="1053">
        <f t="shared" si="23"/>
        <v>690</v>
      </c>
      <c r="N61" s="1054">
        <f t="shared" si="23"/>
        <v>0</v>
      </c>
      <c r="O61" s="1052">
        <f>SUM(O62:O65)</f>
        <v>162</v>
      </c>
      <c r="P61" s="1080">
        <f>SUM(P62:P65)</f>
        <v>163</v>
      </c>
      <c r="Q61" s="1053">
        <f t="shared" ref="Q61:Z61" si="24">SUM(Q62:Q65)</f>
        <v>8.15</v>
      </c>
      <c r="R61" s="1054">
        <f t="shared" si="24"/>
        <v>0</v>
      </c>
      <c r="S61" s="1053">
        <f t="shared" si="24"/>
        <v>12.059999999999999</v>
      </c>
      <c r="T61" s="1054">
        <f t="shared" si="24"/>
        <v>0</v>
      </c>
      <c r="U61" s="1053">
        <f t="shared" si="24"/>
        <v>20</v>
      </c>
      <c r="V61" s="1054">
        <f t="shared" si="24"/>
        <v>0</v>
      </c>
      <c r="W61" s="1053">
        <f t="shared" si="24"/>
        <v>66</v>
      </c>
      <c r="X61" s="1054">
        <f t="shared" si="24"/>
        <v>0</v>
      </c>
      <c r="Y61" s="1053">
        <f t="shared" si="24"/>
        <v>71</v>
      </c>
      <c r="Z61" s="1054">
        <f t="shared" si="24"/>
        <v>0</v>
      </c>
      <c r="AA61" s="1052">
        <f>SUM(AA62:AA65)</f>
        <v>300</v>
      </c>
      <c r="AB61" s="1080">
        <f>SUM(AB62:AB65)</f>
        <v>306</v>
      </c>
      <c r="AC61" s="1053">
        <f t="shared" ref="AC61:AL61" si="25">SUM(AC62:AC65)</f>
        <v>15</v>
      </c>
      <c r="AD61" s="1054">
        <f t="shared" si="25"/>
        <v>0</v>
      </c>
      <c r="AE61" s="1053">
        <f t="shared" si="25"/>
        <v>25</v>
      </c>
      <c r="AF61" s="1054">
        <f t="shared" si="25"/>
        <v>0</v>
      </c>
      <c r="AG61" s="1053">
        <f t="shared" si="25"/>
        <v>70</v>
      </c>
      <c r="AH61" s="1054">
        <f t="shared" si="25"/>
        <v>0</v>
      </c>
      <c r="AI61" s="1053">
        <f t="shared" si="25"/>
        <v>83</v>
      </c>
      <c r="AJ61" s="1054">
        <f t="shared" si="25"/>
        <v>0</v>
      </c>
      <c r="AK61" s="1053">
        <f t="shared" si="25"/>
        <v>88</v>
      </c>
      <c r="AL61" s="1054">
        <f t="shared" si="25"/>
        <v>0</v>
      </c>
    </row>
    <row r="62" spans="1:42">
      <c r="A62" s="1036" t="s">
        <v>119</v>
      </c>
      <c r="B62" s="1454" t="s">
        <v>848</v>
      </c>
      <c r="C62" s="2169">
        <v>802</v>
      </c>
      <c r="D62" s="2378">
        <v>815</v>
      </c>
      <c r="E62" s="780">
        <v>39</v>
      </c>
      <c r="F62" s="790"/>
      <c r="G62" s="794">
        <v>59</v>
      </c>
      <c r="H62" s="2342"/>
      <c r="I62" s="780">
        <v>79</v>
      </c>
      <c r="J62" s="790"/>
      <c r="K62" s="794">
        <v>275</v>
      </c>
      <c r="L62" s="2342"/>
      <c r="M62" s="780">
        <v>301</v>
      </c>
      <c r="N62" s="790"/>
      <c r="O62" s="2169">
        <v>84</v>
      </c>
      <c r="P62" s="2169">
        <v>85</v>
      </c>
      <c r="Q62" s="780">
        <v>4</v>
      </c>
      <c r="R62" s="790"/>
      <c r="S62" s="780">
        <v>6</v>
      </c>
      <c r="T62" s="790"/>
      <c r="U62" s="794">
        <v>13</v>
      </c>
      <c r="V62" s="2342"/>
      <c r="W62" s="780">
        <v>56</v>
      </c>
      <c r="X62" s="790"/>
      <c r="Y62" s="794">
        <v>59</v>
      </c>
      <c r="Z62" s="2342"/>
      <c r="AA62" s="2169">
        <v>158</v>
      </c>
      <c r="AB62" s="2378">
        <v>164</v>
      </c>
      <c r="AC62" s="780">
        <v>8</v>
      </c>
      <c r="AD62" s="790"/>
      <c r="AE62" s="794">
        <v>13</v>
      </c>
      <c r="AF62" s="2342"/>
      <c r="AG62" s="780">
        <v>55</v>
      </c>
      <c r="AH62" s="790"/>
      <c r="AI62" s="794">
        <v>63</v>
      </c>
      <c r="AJ62" s="2342"/>
      <c r="AK62" s="780">
        <v>66</v>
      </c>
      <c r="AL62" s="790"/>
    </row>
    <row r="63" spans="1:42">
      <c r="A63" s="1036" t="s">
        <v>124</v>
      </c>
      <c r="B63" s="1456" t="s">
        <v>857</v>
      </c>
      <c r="C63" s="2169">
        <v>28</v>
      </c>
      <c r="D63" s="2378">
        <v>28</v>
      </c>
      <c r="E63" s="780">
        <v>2</v>
      </c>
      <c r="F63" s="790"/>
      <c r="G63" s="794">
        <v>3</v>
      </c>
      <c r="H63" s="2342"/>
      <c r="I63" s="780">
        <v>3</v>
      </c>
      <c r="J63" s="790"/>
      <c r="K63" s="794">
        <v>3</v>
      </c>
      <c r="L63" s="2342"/>
      <c r="M63" s="780">
        <v>3</v>
      </c>
      <c r="N63" s="790"/>
      <c r="O63" s="2169">
        <v>1</v>
      </c>
      <c r="P63" s="2169">
        <v>1</v>
      </c>
      <c r="Q63" s="780">
        <v>0.05</v>
      </c>
      <c r="R63" s="790"/>
      <c r="S63" s="780">
        <v>0.02</v>
      </c>
      <c r="T63" s="790"/>
      <c r="U63" s="794"/>
      <c r="V63" s="2342"/>
      <c r="W63" s="780"/>
      <c r="X63" s="790"/>
      <c r="Y63" s="794"/>
      <c r="Z63" s="2342"/>
      <c r="AA63" s="2169"/>
      <c r="AB63" s="2378"/>
      <c r="AC63" s="780"/>
      <c r="AD63" s="790"/>
      <c r="AE63" s="794"/>
      <c r="AF63" s="2342"/>
      <c r="AG63" s="780"/>
      <c r="AH63" s="790"/>
      <c r="AI63" s="794"/>
      <c r="AJ63" s="2342"/>
      <c r="AK63" s="780"/>
      <c r="AL63" s="790"/>
    </row>
    <row r="64" spans="1:42">
      <c r="A64" s="1036" t="s">
        <v>91</v>
      </c>
      <c r="B64" s="1456" t="s">
        <v>849</v>
      </c>
      <c r="C64" s="2169">
        <v>1073</v>
      </c>
      <c r="D64" s="2378">
        <v>1103</v>
      </c>
      <c r="E64" s="780">
        <v>52</v>
      </c>
      <c r="F64" s="790"/>
      <c r="G64" s="794">
        <v>79</v>
      </c>
      <c r="H64" s="2342"/>
      <c r="I64" s="780">
        <v>106</v>
      </c>
      <c r="J64" s="790"/>
      <c r="K64" s="794">
        <v>349</v>
      </c>
      <c r="L64" s="2342"/>
      <c r="M64" s="780">
        <v>384</v>
      </c>
      <c r="N64" s="790"/>
      <c r="O64" s="2169">
        <v>75</v>
      </c>
      <c r="P64" s="2169">
        <v>75</v>
      </c>
      <c r="Q64" s="780">
        <v>4</v>
      </c>
      <c r="R64" s="790"/>
      <c r="S64" s="780">
        <v>6</v>
      </c>
      <c r="T64" s="790"/>
      <c r="U64" s="794">
        <v>7</v>
      </c>
      <c r="V64" s="2342"/>
      <c r="W64" s="780">
        <v>10</v>
      </c>
      <c r="X64" s="790"/>
      <c r="Y64" s="794">
        <v>12</v>
      </c>
      <c r="Z64" s="2342"/>
      <c r="AA64" s="2169">
        <v>142</v>
      </c>
      <c r="AB64" s="2378">
        <v>142</v>
      </c>
      <c r="AC64" s="780">
        <v>7</v>
      </c>
      <c r="AD64" s="790"/>
      <c r="AE64" s="794">
        <v>12</v>
      </c>
      <c r="AF64" s="2342"/>
      <c r="AG64" s="780">
        <v>15</v>
      </c>
      <c r="AH64" s="790"/>
      <c r="AI64" s="794">
        <v>20</v>
      </c>
      <c r="AJ64" s="2342"/>
      <c r="AK64" s="780">
        <v>22</v>
      </c>
      <c r="AL64" s="790"/>
    </row>
    <row r="65" spans="1:38" ht="24.75" thickBot="1">
      <c r="A65" s="1036" t="s">
        <v>92</v>
      </c>
      <c r="B65" s="1457" t="s">
        <v>856</v>
      </c>
      <c r="C65" s="2169">
        <v>19</v>
      </c>
      <c r="D65" s="2378">
        <v>19</v>
      </c>
      <c r="E65" s="780">
        <v>1</v>
      </c>
      <c r="F65" s="790"/>
      <c r="G65" s="794">
        <v>1.5</v>
      </c>
      <c r="H65" s="2342"/>
      <c r="I65" s="780">
        <v>2</v>
      </c>
      <c r="J65" s="790"/>
      <c r="K65" s="794">
        <v>2</v>
      </c>
      <c r="L65" s="2342"/>
      <c r="M65" s="780">
        <v>2</v>
      </c>
      <c r="N65" s="790"/>
      <c r="O65" s="2169">
        <v>2</v>
      </c>
      <c r="P65" s="2169">
        <v>2</v>
      </c>
      <c r="Q65" s="780">
        <v>0.1</v>
      </c>
      <c r="R65" s="790"/>
      <c r="S65" s="780">
        <v>0.04</v>
      </c>
      <c r="T65" s="790"/>
      <c r="U65" s="794"/>
      <c r="V65" s="2342"/>
      <c r="W65" s="780"/>
      <c r="X65" s="790"/>
      <c r="Y65" s="794"/>
      <c r="Z65" s="2342"/>
      <c r="AA65" s="2169"/>
      <c r="AB65" s="2378"/>
      <c r="AC65" s="780"/>
      <c r="AD65" s="790"/>
      <c r="AE65" s="794"/>
      <c r="AF65" s="2342"/>
      <c r="AG65" s="780"/>
      <c r="AH65" s="790"/>
      <c r="AI65" s="794"/>
      <c r="AJ65" s="2342"/>
      <c r="AK65" s="780"/>
      <c r="AL65" s="790"/>
    </row>
    <row r="66" spans="1:38" ht="15.75" thickBot="1">
      <c r="A66" s="1059">
        <v>6</v>
      </c>
      <c r="B66" s="1051" t="s">
        <v>626</v>
      </c>
      <c r="C66" s="1052">
        <f>SUM(C67:C71)</f>
        <v>569</v>
      </c>
      <c r="D66" s="1080">
        <f>SUM(D67:D71)</f>
        <v>528</v>
      </c>
      <c r="E66" s="1053">
        <f t="shared" ref="E66:N66" si="26">SUM(E67:E71)</f>
        <v>70</v>
      </c>
      <c r="F66" s="1054">
        <f t="shared" si="26"/>
        <v>0</v>
      </c>
      <c r="G66" s="1053">
        <f t="shared" si="26"/>
        <v>46</v>
      </c>
      <c r="H66" s="1054">
        <f t="shared" si="26"/>
        <v>0</v>
      </c>
      <c r="I66" s="1053">
        <f t="shared" si="26"/>
        <v>47</v>
      </c>
      <c r="J66" s="1054">
        <f t="shared" si="26"/>
        <v>0</v>
      </c>
      <c r="K66" s="1053">
        <f t="shared" si="26"/>
        <v>123</v>
      </c>
      <c r="L66" s="1054">
        <f t="shared" si="26"/>
        <v>0</v>
      </c>
      <c r="M66" s="1053">
        <f t="shared" si="26"/>
        <v>109</v>
      </c>
      <c r="N66" s="1054">
        <f t="shared" si="26"/>
        <v>0</v>
      </c>
      <c r="O66" s="1052">
        <f>SUM(O67:O71)</f>
        <v>48</v>
      </c>
      <c r="P66" s="1080">
        <f>SUM(P67:P71)</f>
        <v>48</v>
      </c>
      <c r="Q66" s="1053">
        <f t="shared" ref="Q66:Z66" si="27">SUM(Q67:Q71)</f>
        <v>0</v>
      </c>
      <c r="R66" s="1054">
        <f t="shared" si="27"/>
        <v>0</v>
      </c>
      <c r="S66" s="1053">
        <f t="shared" si="27"/>
        <v>0</v>
      </c>
      <c r="T66" s="1054">
        <f t="shared" si="27"/>
        <v>0</v>
      </c>
      <c r="U66" s="1053">
        <f t="shared" si="27"/>
        <v>0</v>
      </c>
      <c r="V66" s="1054">
        <f t="shared" si="27"/>
        <v>0</v>
      </c>
      <c r="W66" s="1053">
        <f t="shared" si="27"/>
        <v>1</v>
      </c>
      <c r="X66" s="1054">
        <f t="shared" si="27"/>
        <v>0</v>
      </c>
      <c r="Y66" s="1053">
        <f t="shared" si="27"/>
        <v>1</v>
      </c>
      <c r="Z66" s="1054">
        <f t="shared" si="27"/>
        <v>0</v>
      </c>
      <c r="AA66" s="1052">
        <f>SUM(AA67:AA71)</f>
        <v>51</v>
      </c>
      <c r="AB66" s="1080">
        <f>SUM(AB67:AB71)</f>
        <v>51</v>
      </c>
      <c r="AC66" s="1053">
        <f t="shared" ref="AC66:AL66" si="28">SUM(AC67:AC71)</f>
        <v>0</v>
      </c>
      <c r="AD66" s="1054">
        <f t="shared" si="28"/>
        <v>0</v>
      </c>
      <c r="AE66" s="1053">
        <f t="shared" si="28"/>
        <v>0</v>
      </c>
      <c r="AF66" s="1054">
        <f t="shared" si="28"/>
        <v>0</v>
      </c>
      <c r="AG66" s="1053">
        <f t="shared" si="28"/>
        <v>0</v>
      </c>
      <c r="AH66" s="1054">
        <f t="shared" si="28"/>
        <v>0</v>
      </c>
      <c r="AI66" s="1053">
        <f t="shared" si="28"/>
        <v>0</v>
      </c>
      <c r="AJ66" s="1054">
        <f t="shared" si="28"/>
        <v>0</v>
      </c>
      <c r="AK66" s="1053">
        <f t="shared" si="28"/>
        <v>0</v>
      </c>
      <c r="AL66" s="1054">
        <f t="shared" si="28"/>
        <v>0</v>
      </c>
    </row>
    <row r="67" spans="1:38">
      <c r="A67" s="1036" t="s">
        <v>333</v>
      </c>
      <c r="B67" s="1037" t="s">
        <v>627</v>
      </c>
      <c r="C67" s="2169">
        <v>23</v>
      </c>
      <c r="D67" s="2378">
        <v>23</v>
      </c>
      <c r="E67" s="780"/>
      <c r="F67" s="790"/>
      <c r="G67" s="794"/>
      <c r="H67" s="2342"/>
      <c r="I67" s="780"/>
      <c r="J67" s="790"/>
      <c r="K67" s="794"/>
      <c r="L67" s="2342"/>
      <c r="M67" s="780"/>
      <c r="N67" s="790"/>
      <c r="O67" s="2169">
        <v>3</v>
      </c>
      <c r="P67" s="2169">
        <v>3</v>
      </c>
      <c r="Q67" s="780"/>
      <c r="R67" s="790"/>
      <c r="S67" s="780"/>
      <c r="T67" s="790"/>
      <c r="U67" s="794"/>
      <c r="V67" s="2342"/>
      <c r="W67" s="780"/>
      <c r="X67" s="790"/>
      <c r="Y67" s="794"/>
      <c r="Z67" s="2342"/>
      <c r="AA67" s="2169">
        <v>2</v>
      </c>
      <c r="AB67" s="2378">
        <v>2</v>
      </c>
      <c r="AC67" s="780"/>
      <c r="AD67" s="790"/>
      <c r="AE67" s="794"/>
      <c r="AF67" s="2342"/>
      <c r="AG67" s="780"/>
      <c r="AH67" s="790"/>
      <c r="AI67" s="794"/>
      <c r="AJ67" s="2342"/>
      <c r="AK67" s="780"/>
      <c r="AL67" s="790"/>
    </row>
    <row r="68" spans="1:38">
      <c r="A68" s="1036" t="s">
        <v>335</v>
      </c>
      <c r="B68" s="1068" t="s">
        <v>628</v>
      </c>
      <c r="C68" s="2169">
        <v>32</v>
      </c>
      <c r="D68" s="2378">
        <v>32</v>
      </c>
      <c r="E68" s="780"/>
      <c r="F68" s="790"/>
      <c r="G68" s="794"/>
      <c r="H68" s="2342"/>
      <c r="I68" s="780">
        <v>2</v>
      </c>
      <c r="J68" s="790"/>
      <c r="K68" s="794">
        <v>15</v>
      </c>
      <c r="L68" s="2342"/>
      <c r="M68" s="780">
        <v>15</v>
      </c>
      <c r="N68" s="790"/>
      <c r="O68" s="2169">
        <v>14</v>
      </c>
      <c r="P68" s="2169">
        <v>14</v>
      </c>
      <c r="Q68" s="780"/>
      <c r="R68" s="790"/>
      <c r="S68" s="780"/>
      <c r="T68" s="790"/>
      <c r="U68" s="794"/>
      <c r="V68" s="2342"/>
      <c r="W68" s="780">
        <v>1</v>
      </c>
      <c r="X68" s="790"/>
      <c r="Y68" s="794">
        <v>1</v>
      </c>
      <c r="Z68" s="2342"/>
      <c r="AA68" s="2169">
        <v>8</v>
      </c>
      <c r="AB68" s="2378">
        <v>8</v>
      </c>
      <c r="AC68" s="780"/>
      <c r="AD68" s="790"/>
      <c r="AE68" s="794"/>
      <c r="AF68" s="2342"/>
      <c r="AG68" s="780"/>
      <c r="AH68" s="790"/>
      <c r="AI68" s="794"/>
      <c r="AJ68" s="2342"/>
      <c r="AK68" s="780"/>
      <c r="AL68" s="790"/>
    </row>
    <row r="69" spans="1:38">
      <c r="A69" s="1036" t="s">
        <v>337</v>
      </c>
      <c r="B69" s="1041" t="s">
        <v>629</v>
      </c>
      <c r="C69" s="2169">
        <v>468</v>
      </c>
      <c r="D69" s="2378">
        <v>428</v>
      </c>
      <c r="E69" s="780">
        <v>70</v>
      </c>
      <c r="F69" s="790"/>
      <c r="G69" s="794">
        <v>46</v>
      </c>
      <c r="H69" s="2342"/>
      <c r="I69" s="780">
        <v>45</v>
      </c>
      <c r="J69" s="790"/>
      <c r="K69" s="794">
        <v>108</v>
      </c>
      <c r="L69" s="2342"/>
      <c r="M69" s="780">
        <v>94</v>
      </c>
      <c r="N69" s="790"/>
      <c r="O69" s="2169"/>
      <c r="P69" s="2169"/>
      <c r="Q69" s="780"/>
      <c r="R69" s="790"/>
      <c r="S69" s="780"/>
      <c r="T69" s="790"/>
      <c r="U69" s="794"/>
      <c r="V69" s="2342"/>
      <c r="W69" s="780"/>
      <c r="X69" s="790"/>
      <c r="Y69" s="794"/>
      <c r="Z69" s="2342"/>
      <c r="AA69" s="2169"/>
      <c r="AB69" s="2378"/>
      <c r="AC69" s="780"/>
      <c r="AD69" s="790"/>
      <c r="AE69" s="794"/>
      <c r="AF69" s="2342"/>
      <c r="AG69" s="780"/>
      <c r="AH69" s="790"/>
      <c r="AI69" s="794"/>
      <c r="AJ69" s="2342"/>
      <c r="AK69" s="780"/>
      <c r="AL69" s="790"/>
    </row>
    <row r="70" spans="1:38">
      <c r="A70" s="1036" t="s">
        <v>339</v>
      </c>
      <c r="B70" s="1043" t="s">
        <v>630</v>
      </c>
      <c r="C70" s="2169"/>
      <c r="D70" s="2378"/>
      <c r="E70" s="780"/>
      <c r="F70" s="790"/>
      <c r="G70" s="794"/>
      <c r="H70" s="2342"/>
      <c r="I70" s="780"/>
      <c r="J70" s="790"/>
      <c r="K70" s="794"/>
      <c r="L70" s="2342"/>
      <c r="M70" s="780"/>
      <c r="N70" s="790"/>
      <c r="O70" s="2169">
        <v>27</v>
      </c>
      <c r="P70" s="2169">
        <v>27</v>
      </c>
      <c r="Q70" s="780"/>
      <c r="R70" s="790"/>
      <c r="S70" s="780"/>
      <c r="T70" s="790"/>
      <c r="U70" s="794"/>
      <c r="V70" s="2342"/>
      <c r="W70" s="780"/>
      <c r="X70" s="790"/>
      <c r="Y70" s="794"/>
      <c r="Z70" s="2342"/>
      <c r="AA70" s="2169">
        <v>37</v>
      </c>
      <c r="AB70" s="2378">
        <v>37</v>
      </c>
      <c r="AC70" s="780"/>
      <c r="AD70" s="790"/>
      <c r="AE70" s="794"/>
      <c r="AF70" s="2342"/>
      <c r="AG70" s="780"/>
      <c r="AH70" s="790"/>
      <c r="AI70" s="794"/>
      <c r="AJ70" s="2342"/>
      <c r="AK70" s="780"/>
      <c r="AL70" s="790"/>
    </row>
    <row r="71" spans="1:38" ht="15.75" thickBot="1">
      <c r="A71" s="1036" t="s">
        <v>341</v>
      </c>
      <c r="B71" s="1043" t="s">
        <v>631</v>
      </c>
      <c r="C71" s="2169">
        <v>46</v>
      </c>
      <c r="D71" s="2378">
        <v>45</v>
      </c>
      <c r="E71" s="780"/>
      <c r="F71" s="790"/>
      <c r="G71" s="794"/>
      <c r="H71" s="2342"/>
      <c r="I71" s="780"/>
      <c r="J71" s="790"/>
      <c r="K71" s="794"/>
      <c r="L71" s="2342"/>
      <c r="M71" s="780"/>
      <c r="N71" s="790"/>
      <c r="O71" s="2169">
        <v>4</v>
      </c>
      <c r="P71" s="2169">
        <v>4</v>
      </c>
      <c r="Q71" s="780"/>
      <c r="R71" s="790"/>
      <c r="S71" s="780"/>
      <c r="T71" s="790"/>
      <c r="U71" s="794"/>
      <c r="V71" s="2342"/>
      <c r="W71" s="780"/>
      <c r="X71" s="790"/>
      <c r="Y71" s="794"/>
      <c r="Z71" s="2342"/>
      <c r="AA71" s="2169">
        <v>4</v>
      </c>
      <c r="AB71" s="2378">
        <v>4</v>
      </c>
      <c r="AC71" s="780"/>
      <c r="AD71" s="790"/>
      <c r="AE71" s="794"/>
      <c r="AF71" s="2342"/>
      <c r="AG71" s="780"/>
      <c r="AH71" s="790"/>
      <c r="AI71" s="794"/>
      <c r="AJ71" s="2342"/>
      <c r="AK71" s="780"/>
      <c r="AL71" s="790"/>
    </row>
    <row r="72" spans="1:38" ht="15.75" thickBot="1">
      <c r="A72" s="1059">
        <v>7</v>
      </c>
      <c r="B72" s="1051" t="s">
        <v>332</v>
      </c>
      <c r="C72" s="1052">
        <f t="shared" ref="C72:AL72" si="29">SUM(C73:C79)</f>
        <v>90</v>
      </c>
      <c r="D72" s="1080">
        <f t="shared" si="29"/>
        <v>270</v>
      </c>
      <c r="E72" s="1053">
        <f t="shared" si="29"/>
        <v>0</v>
      </c>
      <c r="F72" s="1054">
        <f t="shared" si="29"/>
        <v>0</v>
      </c>
      <c r="G72" s="1053">
        <f t="shared" si="29"/>
        <v>0</v>
      </c>
      <c r="H72" s="1054">
        <f t="shared" si="29"/>
        <v>0</v>
      </c>
      <c r="I72" s="1053">
        <f t="shared" si="29"/>
        <v>7</v>
      </c>
      <c r="J72" s="1054">
        <f t="shared" si="29"/>
        <v>0</v>
      </c>
      <c r="K72" s="1053">
        <f t="shared" si="29"/>
        <v>100</v>
      </c>
      <c r="L72" s="1054">
        <f t="shared" si="29"/>
        <v>0</v>
      </c>
      <c r="M72" s="1053">
        <f t="shared" si="29"/>
        <v>100</v>
      </c>
      <c r="N72" s="1054">
        <f t="shared" si="29"/>
        <v>0</v>
      </c>
      <c r="O72" s="1052">
        <f t="shared" si="29"/>
        <v>9</v>
      </c>
      <c r="P72" s="1080">
        <f t="shared" si="29"/>
        <v>30</v>
      </c>
      <c r="Q72" s="1053">
        <f t="shared" si="29"/>
        <v>0</v>
      </c>
      <c r="R72" s="1054">
        <f t="shared" si="29"/>
        <v>0</v>
      </c>
      <c r="S72" s="1053">
        <f t="shared" si="29"/>
        <v>0</v>
      </c>
      <c r="T72" s="1054">
        <f t="shared" si="29"/>
        <v>0</v>
      </c>
      <c r="U72" s="1053">
        <f t="shared" si="29"/>
        <v>0</v>
      </c>
      <c r="V72" s="1054">
        <f t="shared" si="29"/>
        <v>0</v>
      </c>
      <c r="W72" s="1053">
        <f t="shared" si="29"/>
        <v>6</v>
      </c>
      <c r="X72" s="1054">
        <f t="shared" si="29"/>
        <v>0</v>
      </c>
      <c r="Y72" s="1053">
        <f t="shared" si="29"/>
        <v>6</v>
      </c>
      <c r="Z72" s="1054">
        <f t="shared" si="29"/>
        <v>0</v>
      </c>
      <c r="AA72" s="1052">
        <f t="shared" si="29"/>
        <v>10</v>
      </c>
      <c r="AB72" s="1080">
        <f t="shared" si="29"/>
        <v>29</v>
      </c>
      <c r="AC72" s="1053">
        <f t="shared" si="29"/>
        <v>0</v>
      </c>
      <c r="AD72" s="1054">
        <f t="shared" si="29"/>
        <v>0</v>
      </c>
      <c r="AE72" s="1053">
        <f t="shared" si="29"/>
        <v>0</v>
      </c>
      <c r="AF72" s="1054">
        <f t="shared" si="29"/>
        <v>0</v>
      </c>
      <c r="AG72" s="1053">
        <f t="shared" si="29"/>
        <v>0</v>
      </c>
      <c r="AH72" s="1054">
        <f t="shared" si="29"/>
        <v>0</v>
      </c>
      <c r="AI72" s="1053">
        <f t="shared" si="29"/>
        <v>0</v>
      </c>
      <c r="AJ72" s="1054">
        <f t="shared" si="29"/>
        <v>0</v>
      </c>
      <c r="AK72" s="1053">
        <f t="shared" si="29"/>
        <v>0</v>
      </c>
      <c r="AL72" s="1054">
        <f t="shared" si="29"/>
        <v>0</v>
      </c>
    </row>
    <row r="73" spans="1:38">
      <c r="A73" s="486" t="s">
        <v>232</v>
      </c>
      <c r="B73" s="1037" t="s">
        <v>334</v>
      </c>
      <c r="C73" s="2169"/>
      <c r="D73" s="2378"/>
      <c r="E73" s="780"/>
      <c r="F73" s="790"/>
      <c r="G73" s="794"/>
      <c r="H73" s="2342"/>
      <c r="I73" s="780"/>
      <c r="J73" s="790"/>
      <c r="K73" s="794">
        <v>1</v>
      </c>
      <c r="L73" s="2342"/>
      <c r="M73" s="780">
        <v>1</v>
      </c>
      <c r="N73" s="790"/>
      <c r="O73" s="2169"/>
      <c r="P73" s="2169"/>
      <c r="Q73" s="780"/>
      <c r="R73" s="790"/>
      <c r="S73" s="780"/>
      <c r="T73" s="790"/>
      <c r="U73" s="794"/>
      <c r="V73" s="2342"/>
      <c r="W73" s="780"/>
      <c r="X73" s="790"/>
      <c r="Y73" s="794"/>
      <c r="Z73" s="2342"/>
      <c r="AA73" s="2169"/>
      <c r="AB73" s="2378"/>
      <c r="AC73" s="780"/>
      <c r="AD73" s="790"/>
      <c r="AE73" s="794"/>
      <c r="AF73" s="2342"/>
      <c r="AG73" s="780"/>
      <c r="AH73" s="790"/>
      <c r="AI73" s="794"/>
      <c r="AJ73" s="2342"/>
      <c r="AK73" s="780"/>
      <c r="AL73" s="790"/>
    </row>
    <row r="74" spans="1:38">
      <c r="A74" s="486" t="s">
        <v>235</v>
      </c>
      <c r="B74" s="1068" t="s">
        <v>336</v>
      </c>
      <c r="C74" s="2169">
        <v>27</v>
      </c>
      <c r="D74" s="2378">
        <v>20</v>
      </c>
      <c r="E74" s="780"/>
      <c r="F74" s="790"/>
      <c r="G74" s="794"/>
      <c r="H74" s="2342"/>
      <c r="I74" s="780"/>
      <c r="J74" s="790"/>
      <c r="K74" s="794">
        <v>8</v>
      </c>
      <c r="L74" s="2342"/>
      <c r="M74" s="780">
        <v>8</v>
      </c>
      <c r="N74" s="790"/>
      <c r="O74" s="2169">
        <v>2</v>
      </c>
      <c r="P74" s="2169">
        <v>2</v>
      </c>
      <c r="Q74" s="780"/>
      <c r="R74" s="790"/>
      <c r="S74" s="780"/>
      <c r="T74" s="790"/>
      <c r="U74" s="794"/>
      <c r="V74" s="2342"/>
      <c r="W74" s="780"/>
      <c r="X74" s="790"/>
      <c r="Y74" s="794"/>
      <c r="Z74" s="2342"/>
      <c r="AA74" s="2169">
        <v>4</v>
      </c>
      <c r="AB74" s="2378">
        <v>4</v>
      </c>
      <c r="AC74" s="780"/>
      <c r="AD74" s="790"/>
      <c r="AE74" s="794"/>
      <c r="AF74" s="2342"/>
      <c r="AG74" s="780"/>
      <c r="AH74" s="790"/>
      <c r="AI74" s="794"/>
      <c r="AJ74" s="2342"/>
      <c r="AK74" s="780"/>
      <c r="AL74" s="790"/>
    </row>
    <row r="75" spans="1:38">
      <c r="A75" s="486" t="s">
        <v>632</v>
      </c>
      <c r="B75" s="1043" t="s">
        <v>331</v>
      </c>
      <c r="C75" s="2169"/>
      <c r="D75" s="2378"/>
      <c r="E75" s="780"/>
      <c r="F75" s="790"/>
      <c r="G75" s="794"/>
      <c r="H75" s="2342"/>
      <c r="I75" s="780"/>
      <c r="J75" s="790"/>
      <c r="K75" s="794"/>
      <c r="L75" s="2342"/>
      <c r="M75" s="780"/>
      <c r="N75" s="790"/>
      <c r="O75" s="2169"/>
      <c r="P75" s="2169"/>
      <c r="Q75" s="780"/>
      <c r="R75" s="790"/>
      <c r="S75" s="780"/>
      <c r="T75" s="790"/>
      <c r="U75" s="794"/>
      <c r="V75" s="2342"/>
      <c r="W75" s="780"/>
      <c r="X75" s="790"/>
      <c r="Y75" s="794"/>
      <c r="Z75" s="2342"/>
      <c r="AA75" s="2169"/>
      <c r="AB75" s="2378"/>
      <c r="AC75" s="780"/>
      <c r="AD75" s="790"/>
      <c r="AE75" s="794"/>
      <c r="AF75" s="2342"/>
      <c r="AG75" s="780"/>
      <c r="AH75" s="790"/>
      <c r="AI75" s="794"/>
      <c r="AJ75" s="2342"/>
      <c r="AK75" s="780"/>
      <c r="AL75" s="790"/>
    </row>
    <row r="76" spans="1:38">
      <c r="A76" s="486" t="s">
        <v>633</v>
      </c>
      <c r="B76" s="1037" t="s">
        <v>338</v>
      </c>
      <c r="C76" s="2169">
        <v>21</v>
      </c>
      <c r="D76" s="2378">
        <v>25</v>
      </c>
      <c r="E76" s="780"/>
      <c r="F76" s="790"/>
      <c r="G76" s="794"/>
      <c r="H76" s="2342"/>
      <c r="I76" s="780"/>
      <c r="J76" s="790"/>
      <c r="K76" s="794"/>
      <c r="L76" s="2342"/>
      <c r="M76" s="780"/>
      <c r="N76" s="790"/>
      <c r="O76" s="2169">
        <v>2</v>
      </c>
      <c r="P76" s="2169">
        <v>2</v>
      </c>
      <c r="Q76" s="780"/>
      <c r="R76" s="790"/>
      <c r="S76" s="780"/>
      <c r="T76" s="790"/>
      <c r="U76" s="794"/>
      <c r="V76" s="2342"/>
      <c r="W76" s="780"/>
      <c r="X76" s="790"/>
      <c r="Y76" s="794"/>
      <c r="Z76" s="2342"/>
      <c r="AA76" s="2169">
        <v>1</v>
      </c>
      <c r="AB76" s="2378">
        <v>1</v>
      </c>
      <c r="AC76" s="780"/>
      <c r="AD76" s="790"/>
      <c r="AE76" s="794"/>
      <c r="AF76" s="2342"/>
      <c r="AG76" s="780"/>
      <c r="AH76" s="790"/>
      <c r="AI76" s="794"/>
      <c r="AJ76" s="2342"/>
      <c r="AK76" s="780"/>
      <c r="AL76" s="790"/>
    </row>
    <row r="77" spans="1:38">
      <c r="A77" s="486" t="s">
        <v>634</v>
      </c>
      <c r="B77" s="1043" t="s">
        <v>340</v>
      </c>
      <c r="C77" s="2169">
        <v>27</v>
      </c>
      <c r="D77" s="2378">
        <v>25</v>
      </c>
      <c r="E77" s="780"/>
      <c r="F77" s="790"/>
      <c r="G77" s="794"/>
      <c r="H77" s="2342"/>
      <c r="I77" s="780"/>
      <c r="J77" s="790"/>
      <c r="K77" s="794">
        <v>6</v>
      </c>
      <c r="L77" s="2342"/>
      <c r="M77" s="780">
        <v>6</v>
      </c>
      <c r="N77" s="790"/>
      <c r="O77" s="2169">
        <v>3</v>
      </c>
      <c r="P77" s="2169">
        <v>3</v>
      </c>
      <c r="Q77" s="780"/>
      <c r="R77" s="790"/>
      <c r="S77" s="780"/>
      <c r="T77" s="790"/>
      <c r="U77" s="794"/>
      <c r="V77" s="2342"/>
      <c r="W77" s="780">
        <v>3</v>
      </c>
      <c r="X77" s="790"/>
      <c r="Y77" s="794">
        <v>3</v>
      </c>
      <c r="Z77" s="2342"/>
      <c r="AA77" s="2169">
        <v>3</v>
      </c>
      <c r="AB77" s="2378">
        <v>3</v>
      </c>
      <c r="AC77" s="780"/>
      <c r="AD77" s="790"/>
      <c r="AE77" s="794"/>
      <c r="AF77" s="2342"/>
      <c r="AG77" s="780"/>
      <c r="AH77" s="790"/>
      <c r="AI77" s="794"/>
      <c r="AJ77" s="2342"/>
      <c r="AK77" s="780"/>
      <c r="AL77" s="790"/>
    </row>
    <row r="78" spans="1:38">
      <c r="A78" s="486" t="s">
        <v>635</v>
      </c>
      <c r="B78" s="1069" t="s">
        <v>325</v>
      </c>
      <c r="C78" s="2169"/>
      <c r="D78" s="2378"/>
      <c r="E78" s="780"/>
      <c r="F78" s="790"/>
      <c r="G78" s="794"/>
      <c r="H78" s="2342"/>
      <c r="I78" s="780"/>
      <c r="J78" s="790"/>
      <c r="K78" s="794">
        <v>39</v>
      </c>
      <c r="L78" s="2342"/>
      <c r="M78" s="780">
        <v>39</v>
      </c>
      <c r="N78" s="790"/>
      <c r="O78" s="2169"/>
      <c r="P78" s="2169"/>
      <c r="Q78" s="780"/>
      <c r="R78" s="790"/>
      <c r="S78" s="780"/>
      <c r="T78" s="790"/>
      <c r="U78" s="794"/>
      <c r="V78" s="2342"/>
      <c r="W78" s="780">
        <v>2</v>
      </c>
      <c r="X78" s="790"/>
      <c r="Y78" s="794">
        <v>2</v>
      </c>
      <c r="Z78" s="2342"/>
      <c r="AA78" s="2169"/>
      <c r="AB78" s="2378"/>
      <c r="AC78" s="780"/>
      <c r="AD78" s="790"/>
      <c r="AE78" s="794"/>
      <c r="AF78" s="2342"/>
      <c r="AG78" s="780"/>
      <c r="AH78" s="790"/>
      <c r="AI78" s="794"/>
      <c r="AJ78" s="2342"/>
      <c r="AK78" s="780"/>
      <c r="AL78" s="790"/>
    </row>
    <row r="79" spans="1:38">
      <c r="A79" s="486" t="s">
        <v>636</v>
      </c>
      <c r="B79" s="1043" t="s">
        <v>302</v>
      </c>
      <c r="C79" s="1044">
        <f>SUM(C80:C83)</f>
        <v>15</v>
      </c>
      <c r="D79" s="1173">
        <f>SUM(D80:D83)</f>
        <v>200</v>
      </c>
      <c r="E79" s="1045">
        <f t="shared" ref="E79:N79" si="30">SUM(E80:E83)</f>
        <v>0</v>
      </c>
      <c r="F79" s="1046">
        <f t="shared" si="30"/>
        <v>0</v>
      </c>
      <c r="G79" s="1045">
        <f t="shared" si="30"/>
        <v>0</v>
      </c>
      <c r="H79" s="1046">
        <f t="shared" si="30"/>
        <v>0</v>
      </c>
      <c r="I79" s="1045">
        <f t="shared" si="30"/>
        <v>7</v>
      </c>
      <c r="J79" s="1046">
        <f t="shared" si="30"/>
        <v>0</v>
      </c>
      <c r="K79" s="1045">
        <f t="shared" si="30"/>
        <v>46</v>
      </c>
      <c r="L79" s="1046">
        <f t="shared" si="30"/>
        <v>0</v>
      </c>
      <c r="M79" s="1045">
        <f t="shared" si="30"/>
        <v>46</v>
      </c>
      <c r="N79" s="1046">
        <f t="shared" si="30"/>
        <v>0</v>
      </c>
      <c r="O79" s="1044">
        <f>SUM(O80:O83)</f>
        <v>2</v>
      </c>
      <c r="P79" s="1173">
        <f>SUM(P80:P83)</f>
        <v>23</v>
      </c>
      <c r="Q79" s="1045">
        <f t="shared" ref="Q79:Z79" si="31">SUM(Q80:Q83)</f>
        <v>0</v>
      </c>
      <c r="R79" s="1046">
        <f t="shared" si="31"/>
        <v>0</v>
      </c>
      <c r="S79" s="1045">
        <f t="shared" si="31"/>
        <v>0</v>
      </c>
      <c r="T79" s="1046">
        <f t="shared" si="31"/>
        <v>0</v>
      </c>
      <c r="U79" s="1045">
        <f t="shared" si="31"/>
        <v>0</v>
      </c>
      <c r="V79" s="1046">
        <f t="shared" si="31"/>
        <v>0</v>
      </c>
      <c r="W79" s="1045">
        <f t="shared" si="31"/>
        <v>1</v>
      </c>
      <c r="X79" s="1046">
        <f t="shared" si="31"/>
        <v>0</v>
      </c>
      <c r="Y79" s="1045">
        <f t="shared" si="31"/>
        <v>1</v>
      </c>
      <c r="Z79" s="1046">
        <f t="shared" si="31"/>
        <v>0</v>
      </c>
      <c r="AA79" s="1044">
        <f>SUM(AA80:AA83)</f>
        <v>2</v>
      </c>
      <c r="AB79" s="1173">
        <f>SUM(AB80:AB83)</f>
        <v>21</v>
      </c>
      <c r="AC79" s="1045">
        <f t="shared" ref="AC79:AL79" si="32">SUM(AC80:AC83)</f>
        <v>0</v>
      </c>
      <c r="AD79" s="1046">
        <f t="shared" si="32"/>
        <v>0</v>
      </c>
      <c r="AE79" s="1045">
        <f t="shared" si="32"/>
        <v>0</v>
      </c>
      <c r="AF79" s="1046">
        <f t="shared" si="32"/>
        <v>0</v>
      </c>
      <c r="AG79" s="1045">
        <f t="shared" si="32"/>
        <v>0</v>
      </c>
      <c r="AH79" s="1046">
        <f t="shared" si="32"/>
        <v>0</v>
      </c>
      <c r="AI79" s="1045">
        <f t="shared" si="32"/>
        <v>0</v>
      </c>
      <c r="AJ79" s="1046">
        <f t="shared" si="32"/>
        <v>0</v>
      </c>
      <c r="AK79" s="1045">
        <f t="shared" si="32"/>
        <v>0</v>
      </c>
      <c r="AL79" s="1046">
        <f t="shared" si="32"/>
        <v>0</v>
      </c>
    </row>
    <row r="80" spans="1:38">
      <c r="A80" s="487" t="s">
        <v>850</v>
      </c>
      <c r="B80" s="790"/>
      <c r="C80" s="2169">
        <v>15</v>
      </c>
      <c r="D80" s="2378">
        <v>200</v>
      </c>
      <c r="E80" s="780"/>
      <c r="F80" s="790"/>
      <c r="G80" s="794"/>
      <c r="H80" s="2342"/>
      <c r="I80" s="780">
        <v>7</v>
      </c>
      <c r="J80" s="790"/>
      <c r="K80" s="794">
        <v>46</v>
      </c>
      <c r="L80" s="2342"/>
      <c r="M80" s="780">
        <v>46</v>
      </c>
      <c r="N80" s="790"/>
      <c r="O80" s="2169">
        <v>2</v>
      </c>
      <c r="P80" s="2169">
        <v>23</v>
      </c>
      <c r="Q80" s="780"/>
      <c r="R80" s="790"/>
      <c r="S80" s="780"/>
      <c r="T80" s="790"/>
      <c r="U80" s="794"/>
      <c r="V80" s="2342"/>
      <c r="W80" s="780">
        <v>1</v>
      </c>
      <c r="X80" s="790"/>
      <c r="Y80" s="794">
        <v>1</v>
      </c>
      <c r="Z80" s="2342"/>
      <c r="AA80" s="2169">
        <v>2</v>
      </c>
      <c r="AB80" s="2378">
        <v>21</v>
      </c>
      <c r="AC80" s="780"/>
      <c r="AD80" s="790"/>
      <c r="AE80" s="794"/>
      <c r="AF80" s="2342"/>
      <c r="AG80" s="780"/>
      <c r="AH80" s="790"/>
      <c r="AI80" s="794"/>
      <c r="AJ80" s="2342"/>
      <c r="AK80" s="780"/>
      <c r="AL80" s="790"/>
    </row>
    <row r="81" spans="1:42">
      <c r="A81" s="487" t="s">
        <v>851</v>
      </c>
      <c r="B81" s="790"/>
      <c r="C81" s="2169"/>
      <c r="D81" s="2378"/>
      <c r="E81" s="780"/>
      <c r="F81" s="790"/>
      <c r="G81" s="794"/>
      <c r="H81" s="2342"/>
      <c r="I81" s="780"/>
      <c r="J81" s="790"/>
      <c r="K81" s="794"/>
      <c r="L81" s="2342"/>
      <c r="M81" s="780"/>
      <c r="N81" s="790"/>
      <c r="O81" s="2169"/>
      <c r="P81" s="2169"/>
      <c r="Q81" s="780"/>
      <c r="R81" s="790"/>
      <c r="S81" s="780"/>
      <c r="T81" s="790"/>
      <c r="U81" s="794"/>
      <c r="V81" s="2342"/>
      <c r="W81" s="780"/>
      <c r="X81" s="790"/>
      <c r="Y81" s="794"/>
      <c r="Z81" s="2342"/>
      <c r="AA81" s="2169"/>
      <c r="AB81" s="2378"/>
      <c r="AC81" s="780"/>
      <c r="AD81" s="790"/>
      <c r="AE81" s="794"/>
      <c r="AF81" s="2342"/>
      <c r="AG81" s="780"/>
      <c r="AH81" s="790"/>
      <c r="AI81" s="794"/>
      <c r="AJ81" s="2342"/>
      <c r="AK81" s="780"/>
      <c r="AL81" s="790"/>
    </row>
    <row r="82" spans="1:42" s="351" customFormat="1">
      <c r="A82" s="487" t="s">
        <v>852</v>
      </c>
      <c r="B82" s="790"/>
      <c r="C82" s="2169"/>
      <c r="D82" s="2378"/>
      <c r="E82" s="780"/>
      <c r="F82" s="790"/>
      <c r="G82" s="794"/>
      <c r="H82" s="2342"/>
      <c r="I82" s="780"/>
      <c r="J82" s="790"/>
      <c r="K82" s="794"/>
      <c r="L82" s="2342"/>
      <c r="M82" s="780"/>
      <c r="N82" s="790"/>
      <c r="O82" s="2169"/>
      <c r="P82" s="2169"/>
      <c r="Q82" s="780"/>
      <c r="R82" s="790"/>
      <c r="S82" s="780"/>
      <c r="T82" s="790"/>
      <c r="U82" s="794"/>
      <c r="V82" s="2342"/>
      <c r="W82" s="780"/>
      <c r="X82" s="790"/>
      <c r="Y82" s="794"/>
      <c r="Z82" s="2342"/>
      <c r="AA82" s="2169"/>
      <c r="AB82" s="2378"/>
      <c r="AC82" s="780"/>
      <c r="AD82" s="790"/>
      <c r="AE82" s="794"/>
      <c r="AF82" s="2342"/>
      <c r="AG82" s="780"/>
      <c r="AH82" s="790"/>
      <c r="AI82" s="794"/>
      <c r="AJ82" s="2342"/>
      <c r="AK82" s="780"/>
      <c r="AL82" s="790"/>
      <c r="AM82" s="352"/>
    </row>
    <row r="83" spans="1:42" s="351" customFormat="1" ht="15.75" thickBot="1">
      <c r="A83" s="488" t="s">
        <v>853</v>
      </c>
      <c r="B83" s="790"/>
      <c r="C83" s="2169"/>
      <c r="D83" s="2378"/>
      <c r="E83" s="780"/>
      <c r="F83" s="790"/>
      <c r="G83" s="794"/>
      <c r="H83" s="2342"/>
      <c r="I83" s="780"/>
      <c r="J83" s="790"/>
      <c r="K83" s="794"/>
      <c r="L83" s="2342"/>
      <c r="M83" s="780"/>
      <c r="N83" s="790"/>
      <c r="O83" s="2169"/>
      <c r="P83" s="2169"/>
      <c r="Q83" s="780"/>
      <c r="R83" s="790"/>
      <c r="S83" s="780"/>
      <c r="T83" s="790"/>
      <c r="U83" s="794"/>
      <c r="V83" s="2342"/>
      <c r="W83" s="780"/>
      <c r="X83" s="790"/>
      <c r="Y83" s="794"/>
      <c r="Z83" s="2342"/>
      <c r="AA83" s="2169"/>
      <c r="AB83" s="2378"/>
      <c r="AC83" s="780"/>
      <c r="AD83" s="790"/>
      <c r="AE83" s="794"/>
      <c r="AF83" s="2342"/>
      <c r="AG83" s="780"/>
      <c r="AH83" s="790"/>
      <c r="AI83" s="794"/>
      <c r="AJ83" s="2342"/>
      <c r="AK83" s="780"/>
      <c r="AL83" s="790"/>
      <c r="AM83" s="352"/>
    </row>
    <row r="84" spans="1:42" s="504" customFormat="1" ht="15.75" thickBot="1">
      <c r="A84" s="3635" t="s">
        <v>638</v>
      </c>
      <c r="B84" s="3636"/>
      <c r="C84" s="1070"/>
      <c r="D84" s="1070"/>
      <c r="E84" s="1071">
        <f t="shared" ref="E84:N84" si="33">E11+E28+E53+E57+E61+E66+E72</f>
        <v>507</v>
      </c>
      <c r="F84" s="1072">
        <f t="shared" si="33"/>
        <v>0</v>
      </c>
      <c r="G84" s="1071">
        <f t="shared" si="33"/>
        <v>626.745</v>
      </c>
      <c r="H84" s="1072">
        <f t="shared" si="33"/>
        <v>-39.5</v>
      </c>
      <c r="I84" s="1071">
        <f t="shared" si="33"/>
        <v>944.31600000000003</v>
      </c>
      <c r="J84" s="1072">
        <f t="shared" si="33"/>
        <v>-82</v>
      </c>
      <c r="K84" s="1071">
        <f t="shared" si="33"/>
        <v>3409.422</v>
      </c>
      <c r="L84" s="1072">
        <f t="shared" si="33"/>
        <v>-106</v>
      </c>
      <c r="M84" s="1071">
        <f t="shared" si="33"/>
        <v>3563.5830000000001</v>
      </c>
      <c r="N84" s="1072">
        <f t="shared" si="33"/>
        <v>-160</v>
      </c>
      <c r="O84" s="1070"/>
      <c r="P84" s="1070"/>
      <c r="Q84" s="1071">
        <f t="shared" ref="Q84:Z84" si="34">Q11+Q28+Q53+Q57+Q61+Q66+Q72</f>
        <v>48</v>
      </c>
      <c r="R84" s="1072">
        <f t="shared" si="34"/>
        <v>-4.4999999999999998E-2</v>
      </c>
      <c r="S84" s="1071">
        <f t="shared" si="34"/>
        <v>61</v>
      </c>
      <c r="T84" s="1072">
        <f t="shared" si="34"/>
        <v>-4.4999999999999998E-2</v>
      </c>
      <c r="U84" s="1071">
        <f t="shared" si="34"/>
        <v>110</v>
      </c>
      <c r="V84" s="1072">
        <f t="shared" si="34"/>
        <v>-4.9000000000000002E-2</v>
      </c>
      <c r="W84" s="1071">
        <f t="shared" si="34"/>
        <v>290</v>
      </c>
      <c r="X84" s="1072">
        <f t="shared" si="34"/>
        <v>-1.0489999999999999</v>
      </c>
      <c r="Y84" s="1071">
        <f t="shared" si="34"/>
        <v>305.5</v>
      </c>
      <c r="Z84" s="1072">
        <f t="shared" si="34"/>
        <v>-5.0490000000000004</v>
      </c>
      <c r="AA84" s="1070"/>
      <c r="AB84" s="1070"/>
      <c r="AC84" s="1071">
        <f t="shared" ref="AC84:AL84" si="35">AC11+AC28+AC53+AC57+AC61+AC66+AC72</f>
        <v>58</v>
      </c>
      <c r="AD84" s="1072">
        <f t="shared" si="35"/>
        <v>-20</v>
      </c>
      <c r="AE84" s="1071">
        <f t="shared" si="35"/>
        <v>124.42</v>
      </c>
      <c r="AF84" s="1072">
        <f t="shared" si="35"/>
        <v>-21</v>
      </c>
      <c r="AG84" s="1071">
        <f t="shared" si="35"/>
        <v>741.46</v>
      </c>
      <c r="AH84" s="1072">
        <f t="shared" si="35"/>
        <v>-30</v>
      </c>
      <c r="AI84" s="1071">
        <f t="shared" si="35"/>
        <v>867.5</v>
      </c>
      <c r="AJ84" s="1072">
        <f t="shared" si="35"/>
        <v>-30</v>
      </c>
      <c r="AK84" s="1071">
        <f t="shared" si="35"/>
        <v>892.6</v>
      </c>
      <c r="AL84" s="1072">
        <f t="shared" si="35"/>
        <v>-27</v>
      </c>
      <c r="AM84" s="502"/>
      <c r="AN84" s="503"/>
      <c r="AO84" s="503"/>
      <c r="AP84" s="503"/>
    </row>
    <row r="85" spans="1:42" s="1177" customFormat="1" ht="15.75" thickBot="1">
      <c r="A85" s="1174"/>
      <c r="B85" s="1174"/>
      <c r="C85" s="1174"/>
      <c r="D85" s="1174"/>
      <c r="E85" s="1174"/>
      <c r="F85" s="1174"/>
      <c r="G85" s="1174"/>
      <c r="H85" s="1174"/>
      <c r="I85" s="1174"/>
      <c r="J85" s="1174"/>
      <c r="K85" s="1174"/>
      <c r="L85" s="1174"/>
      <c r="M85" s="1174"/>
      <c r="N85" s="1174"/>
      <c r="O85" s="1174"/>
      <c r="P85" s="1174"/>
      <c r="Q85" s="1174"/>
      <c r="R85" s="1174"/>
      <c r="S85" s="1174"/>
      <c r="T85" s="1174"/>
      <c r="U85" s="1174"/>
      <c r="V85" s="1174"/>
      <c r="W85" s="1174"/>
      <c r="X85" s="1174"/>
      <c r="Y85" s="1174"/>
      <c r="Z85" s="1174"/>
      <c r="AA85" s="1174"/>
      <c r="AB85" s="1174"/>
      <c r="AC85" s="1174"/>
      <c r="AD85" s="1174"/>
      <c r="AE85" s="1174"/>
      <c r="AF85" s="1174"/>
      <c r="AG85" s="1174"/>
      <c r="AH85" s="1174"/>
      <c r="AI85" s="1174"/>
      <c r="AJ85" s="1174"/>
      <c r="AK85" s="1174"/>
      <c r="AL85" s="1174"/>
      <c r="AM85" s="1175"/>
      <c r="AN85" s="1176"/>
      <c r="AO85" s="1176"/>
      <c r="AP85" s="1176"/>
    </row>
    <row r="86" spans="1:42" s="351" customFormat="1" ht="29.25" customHeight="1" thickBot="1">
      <c r="A86" s="3625" t="s">
        <v>1262</v>
      </c>
      <c r="B86" s="3626"/>
      <c r="C86" s="3620" t="s">
        <v>270</v>
      </c>
      <c r="D86" s="3621"/>
      <c r="E86" s="3621"/>
      <c r="F86" s="3621"/>
      <c r="G86" s="3621"/>
      <c r="H86" s="3621"/>
      <c r="I86" s="3621"/>
      <c r="J86" s="3621"/>
      <c r="K86" s="3621"/>
      <c r="L86" s="3621"/>
      <c r="M86" s="3621"/>
      <c r="N86" s="3622"/>
      <c r="O86" s="3620" t="s">
        <v>271</v>
      </c>
      <c r="P86" s="3621"/>
      <c r="Q86" s="3621"/>
      <c r="R86" s="3621"/>
      <c r="S86" s="3621"/>
      <c r="T86" s="3621"/>
      <c r="U86" s="3621"/>
      <c r="V86" s="3621"/>
      <c r="W86" s="3621"/>
      <c r="X86" s="3621"/>
      <c r="Y86" s="3621"/>
      <c r="Z86" s="3622"/>
      <c r="AA86" s="3620" t="s">
        <v>272</v>
      </c>
      <c r="AB86" s="3621"/>
      <c r="AC86" s="3621"/>
      <c r="AD86" s="3621"/>
      <c r="AE86" s="3621"/>
      <c r="AF86" s="3621"/>
      <c r="AG86" s="3621"/>
      <c r="AH86" s="3621"/>
      <c r="AI86" s="3621"/>
      <c r="AJ86" s="3621"/>
      <c r="AK86" s="3621"/>
      <c r="AL86" s="3622"/>
      <c r="AM86" s="352"/>
    </row>
    <row r="87" spans="1:42" s="351" customFormat="1" ht="29.25" customHeight="1">
      <c r="A87" s="3627"/>
      <c r="B87" s="3628"/>
      <c r="C87" s="2010" t="str">
        <f>C9</f>
        <v>2015 г.</v>
      </c>
      <c r="D87" s="2536" t="str">
        <f t="shared" ref="D87:M87" si="36">D9</f>
        <v>2016 г.</v>
      </c>
      <c r="E87" s="3618" t="str">
        <f t="shared" si="36"/>
        <v>2017 г.</v>
      </c>
      <c r="F87" s="3631"/>
      <c r="G87" s="3618" t="str">
        <f t="shared" si="36"/>
        <v>2018 г.</v>
      </c>
      <c r="H87" s="3619"/>
      <c r="I87" s="3618" t="str">
        <f t="shared" si="36"/>
        <v>2019 г.</v>
      </c>
      <c r="J87" s="3619"/>
      <c r="K87" s="3618" t="str">
        <f t="shared" si="36"/>
        <v>2020 г.</v>
      </c>
      <c r="L87" s="3619"/>
      <c r="M87" s="3618" t="str">
        <f t="shared" si="36"/>
        <v>2021 г.</v>
      </c>
      <c r="N87" s="3619"/>
      <c r="O87" s="2537" t="str">
        <f>O9</f>
        <v>2015 г.</v>
      </c>
      <c r="P87" s="2010" t="str">
        <f>P9</f>
        <v>2016 г.</v>
      </c>
      <c r="Q87" s="3618" t="str">
        <f>Q9</f>
        <v>2017 г.</v>
      </c>
      <c r="R87" s="3631"/>
      <c r="S87" s="3618" t="str">
        <f>S9</f>
        <v>2018 г.</v>
      </c>
      <c r="T87" s="3619"/>
      <c r="U87" s="3618" t="str">
        <f>U9</f>
        <v>2019 г.</v>
      </c>
      <c r="V87" s="3619"/>
      <c r="W87" s="3618" t="str">
        <f>W9</f>
        <v>2020 г.</v>
      </c>
      <c r="X87" s="3619"/>
      <c r="Y87" s="3618" t="str">
        <f>Y9</f>
        <v>2021 г.</v>
      </c>
      <c r="Z87" s="3619"/>
      <c r="AA87" s="2010" t="str">
        <f>AA9</f>
        <v>2015 г.</v>
      </c>
      <c r="AB87" s="2010" t="str">
        <f>AB9</f>
        <v>2016 г.</v>
      </c>
      <c r="AC87" s="3618" t="str">
        <f>AC9</f>
        <v>2017 г.</v>
      </c>
      <c r="AD87" s="3631"/>
      <c r="AE87" s="3618" t="str">
        <f>AE9</f>
        <v>2018 г.</v>
      </c>
      <c r="AF87" s="3619"/>
      <c r="AG87" s="3618" t="str">
        <f>AG9</f>
        <v>2019 г.</v>
      </c>
      <c r="AH87" s="3619"/>
      <c r="AI87" s="3618" t="str">
        <f>AI9</f>
        <v>2020 г.</v>
      </c>
      <c r="AJ87" s="3619"/>
      <c r="AK87" s="3618" t="str">
        <f>AK9</f>
        <v>2021 г.</v>
      </c>
      <c r="AL87" s="3619"/>
      <c r="AM87" s="352"/>
    </row>
    <row r="88" spans="1:42" s="351" customFormat="1" ht="29.25" customHeight="1" thickBot="1">
      <c r="A88" s="3629"/>
      <c r="B88" s="3630"/>
      <c r="C88" s="2011"/>
      <c r="D88" s="2677" t="s">
        <v>263</v>
      </c>
      <c r="E88" s="2008" t="s">
        <v>1212</v>
      </c>
      <c r="F88" s="2384" t="s">
        <v>1213</v>
      </c>
      <c r="G88" s="2008" t="s">
        <v>1212</v>
      </c>
      <c r="H88" s="2003" t="s">
        <v>1213</v>
      </c>
      <c r="I88" s="2008" t="s">
        <v>1212</v>
      </c>
      <c r="J88" s="2003" t="s">
        <v>1213</v>
      </c>
      <c r="K88" s="2008" t="s">
        <v>1212</v>
      </c>
      <c r="L88" s="2003" t="s">
        <v>1213</v>
      </c>
      <c r="M88" s="2008" t="s">
        <v>1212</v>
      </c>
      <c r="N88" s="2003" t="s">
        <v>1213</v>
      </c>
      <c r="O88" s="2678"/>
      <c r="P88" s="2011" t="s">
        <v>263</v>
      </c>
      <c r="Q88" s="2008" t="s">
        <v>1212</v>
      </c>
      <c r="R88" s="2384" t="s">
        <v>1213</v>
      </c>
      <c r="S88" s="2008" t="s">
        <v>1212</v>
      </c>
      <c r="T88" s="2003" t="s">
        <v>1213</v>
      </c>
      <c r="U88" s="2008" t="s">
        <v>1212</v>
      </c>
      <c r="V88" s="2003" t="s">
        <v>1213</v>
      </c>
      <c r="W88" s="2008" t="s">
        <v>1212</v>
      </c>
      <c r="X88" s="2003" t="s">
        <v>1213</v>
      </c>
      <c r="Y88" s="2008" t="s">
        <v>1212</v>
      </c>
      <c r="Z88" s="2003" t="s">
        <v>1213</v>
      </c>
      <c r="AA88" s="2011"/>
      <c r="AB88" s="2011" t="s">
        <v>263</v>
      </c>
      <c r="AC88" s="2008" t="s">
        <v>1212</v>
      </c>
      <c r="AD88" s="2384" t="s">
        <v>1213</v>
      </c>
      <c r="AE88" s="2008" t="s">
        <v>1212</v>
      </c>
      <c r="AF88" s="2003" t="s">
        <v>1213</v>
      </c>
      <c r="AG88" s="2008" t="s">
        <v>1212</v>
      </c>
      <c r="AH88" s="2003" t="s">
        <v>1213</v>
      </c>
      <c r="AI88" s="2008" t="s">
        <v>1212</v>
      </c>
      <c r="AJ88" s="2003" t="s">
        <v>1213</v>
      </c>
      <c r="AK88" s="2008" t="s">
        <v>1212</v>
      </c>
      <c r="AL88" s="2003" t="s">
        <v>1213</v>
      </c>
      <c r="AM88" s="352"/>
    </row>
    <row r="89" spans="1:42" s="351" customFormat="1" ht="15.75" thickBot="1">
      <c r="A89" s="3623" t="s">
        <v>1230</v>
      </c>
      <c r="B89" s="3624"/>
      <c r="C89" s="2012"/>
      <c r="D89" s="2012"/>
      <c r="E89" s="2369"/>
      <c r="F89" s="2370"/>
      <c r="G89" s="2679"/>
      <c r="H89" s="2680"/>
      <c r="I89" s="2679"/>
      <c r="J89" s="2680"/>
      <c r="K89" s="2679"/>
      <c r="L89" s="2680"/>
      <c r="M89" s="2679"/>
      <c r="N89" s="2680"/>
      <c r="O89" s="2012"/>
      <c r="P89" s="2012"/>
      <c r="Q89" s="2016"/>
      <c r="R89" s="2009"/>
      <c r="S89" s="2016"/>
      <c r="T89" s="2009"/>
      <c r="U89" s="2016"/>
      <c r="V89" s="2009"/>
      <c r="W89" s="2016"/>
      <c r="X89" s="2009"/>
      <c r="Y89" s="2016"/>
      <c r="Z89" s="2009"/>
      <c r="AA89" s="2012"/>
      <c r="AB89" s="2012"/>
      <c r="AC89" s="2016"/>
      <c r="AD89" s="2009"/>
      <c r="AE89" s="2016"/>
      <c r="AF89" s="2009"/>
      <c r="AG89" s="2016"/>
      <c r="AH89" s="2009"/>
      <c r="AI89" s="2016"/>
      <c r="AJ89" s="2009"/>
      <c r="AK89" s="2016"/>
      <c r="AL89" s="2009"/>
      <c r="AM89" s="352"/>
    </row>
    <row r="90" spans="1:42" s="351" customFormat="1">
      <c r="A90" s="1036" t="s">
        <v>98</v>
      </c>
      <c r="B90" s="2169"/>
      <c r="C90" s="2013"/>
      <c r="D90" s="2366"/>
      <c r="E90" s="804"/>
      <c r="F90" s="802"/>
      <c r="G90" s="804"/>
      <c r="H90" s="802"/>
      <c r="I90" s="804"/>
      <c r="J90" s="802"/>
      <c r="K90" s="804"/>
      <c r="L90" s="802"/>
      <c r="M90" s="804"/>
      <c r="N90" s="802"/>
      <c r="O90" s="2013"/>
      <c r="P90" s="2013"/>
      <c r="Q90" s="804"/>
      <c r="R90" s="802"/>
      <c r="S90" s="804"/>
      <c r="T90" s="802"/>
      <c r="U90" s="804"/>
      <c r="V90" s="802"/>
      <c r="W90" s="804"/>
      <c r="X90" s="802"/>
      <c r="Y90" s="804"/>
      <c r="Z90" s="802"/>
      <c r="AA90" s="2013"/>
      <c r="AB90" s="2013"/>
      <c r="AC90" s="804"/>
      <c r="AD90" s="802"/>
      <c r="AE90" s="804"/>
      <c r="AF90" s="802"/>
      <c r="AG90" s="804"/>
      <c r="AH90" s="802"/>
      <c r="AI90" s="804"/>
      <c r="AJ90" s="802"/>
      <c r="AK90" s="804"/>
      <c r="AL90" s="802"/>
      <c r="AM90" s="352"/>
    </row>
    <row r="91" spans="1:42" s="351" customFormat="1">
      <c r="A91" s="1036" t="s">
        <v>99</v>
      </c>
      <c r="B91" s="2169"/>
      <c r="C91" s="2014"/>
      <c r="D91" s="2367"/>
      <c r="E91" s="780"/>
      <c r="F91" s="790"/>
      <c r="G91" s="780"/>
      <c r="H91" s="790"/>
      <c r="I91" s="780"/>
      <c r="J91" s="790"/>
      <c r="K91" s="780"/>
      <c r="L91" s="790"/>
      <c r="M91" s="780"/>
      <c r="N91" s="790"/>
      <c r="O91" s="2014"/>
      <c r="P91" s="2014"/>
      <c r="Q91" s="780"/>
      <c r="R91" s="790"/>
      <c r="S91" s="780"/>
      <c r="T91" s="790"/>
      <c r="U91" s="780"/>
      <c r="V91" s="790"/>
      <c r="W91" s="780"/>
      <c r="X91" s="790"/>
      <c r="Y91" s="780"/>
      <c r="Z91" s="790"/>
      <c r="AA91" s="2014"/>
      <c r="AB91" s="2014"/>
      <c r="AC91" s="780"/>
      <c r="AD91" s="790"/>
      <c r="AE91" s="780"/>
      <c r="AF91" s="790"/>
      <c r="AG91" s="780"/>
      <c r="AH91" s="790"/>
      <c r="AI91" s="780"/>
      <c r="AJ91" s="790"/>
      <c r="AK91" s="780"/>
      <c r="AL91" s="790"/>
      <c r="AM91" s="352"/>
    </row>
    <row r="92" spans="1:42" s="351" customFormat="1">
      <c r="A92" s="1036" t="s">
        <v>101</v>
      </c>
      <c r="B92" s="2169"/>
      <c r="C92" s="2014"/>
      <c r="D92" s="2367"/>
      <c r="E92" s="780"/>
      <c r="F92" s="790"/>
      <c r="G92" s="780"/>
      <c r="H92" s="790"/>
      <c r="I92" s="780"/>
      <c r="J92" s="790"/>
      <c r="K92" s="780"/>
      <c r="L92" s="790"/>
      <c r="M92" s="780"/>
      <c r="N92" s="790"/>
      <c r="O92" s="2014"/>
      <c r="P92" s="2014"/>
      <c r="Q92" s="780"/>
      <c r="R92" s="790"/>
      <c r="S92" s="780"/>
      <c r="T92" s="790"/>
      <c r="U92" s="780"/>
      <c r="V92" s="790"/>
      <c r="W92" s="780"/>
      <c r="X92" s="790"/>
      <c r="Y92" s="780"/>
      <c r="Z92" s="790"/>
      <c r="AA92" s="2014"/>
      <c r="AB92" s="2014"/>
      <c r="AC92" s="780"/>
      <c r="AD92" s="790"/>
      <c r="AE92" s="780"/>
      <c r="AF92" s="790"/>
      <c r="AG92" s="780"/>
      <c r="AH92" s="790"/>
      <c r="AI92" s="780"/>
      <c r="AJ92" s="790"/>
      <c r="AK92" s="780"/>
      <c r="AL92" s="790"/>
      <c r="AM92" s="352"/>
    </row>
    <row r="93" spans="1:42" s="351" customFormat="1">
      <c r="A93" s="1036" t="s">
        <v>197</v>
      </c>
      <c r="B93" s="2169"/>
      <c r="C93" s="2014"/>
      <c r="D93" s="2367"/>
      <c r="E93" s="780"/>
      <c r="F93" s="790"/>
      <c r="G93" s="780"/>
      <c r="H93" s="790"/>
      <c r="I93" s="780"/>
      <c r="J93" s="790"/>
      <c r="K93" s="780"/>
      <c r="L93" s="790"/>
      <c r="M93" s="780"/>
      <c r="N93" s="790"/>
      <c r="O93" s="2014"/>
      <c r="P93" s="2014"/>
      <c r="Q93" s="780"/>
      <c r="R93" s="790"/>
      <c r="S93" s="780"/>
      <c r="T93" s="790"/>
      <c r="U93" s="780"/>
      <c r="V93" s="790"/>
      <c r="W93" s="780"/>
      <c r="X93" s="790"/>
      <c r="Y93" s="780"/>
      <c r="Z93" s="790"/>
      <c r="AA93" s="2014"/>
      <c r="AB93" s="2014"/>
      <c r="AC93" s="780"/>
      <c r="AD93" s="790"/>
      <c r="AE93" s="780"/>
      <c r="AF93" s="790"/>
      <c r="AG93" s="780"/>
      <c r="AH93" s="790"/>
      <c r="AI93" s="780"/>
      <c r="AJ93" s="790"/>
      <c r="AK93" s="780"/>
      <c r="AL93" s="790"/>
      <c r="AM93" s="352"/>
    </row>
    <row r="94" spans="1:42" s="351" customFormat="1">
      <c r="A94" s="1036" t="s">
        <v>199</v>
      </c>
      <c r="B94" s="2169"/>
      <c r="C94" s="2014"/>
      <c r="D94" s="2367"/>
      <c r="E94" s="780"/>
      <c r="F94" s="790"/>
      <c r="G94" s="780"/>
      <c r="H94" s="790"/>
      <c r="I94" s="780"/>
      <c r="J94" s="790"/>
      <c r="K94" s="780"/>
      <c r="L94" s="790"/>
      <c r="M94" s="780"/>
      <c r="N94" s="790"/>
      <c r="O94" s="2014"/>
      <c r="P94" s="2014"/>
      <c r="Q94" s="780"/>
      <c r="R94" s="790"/>
      <c r="S94" s="780"/>
      <c r="T94" s="790"/>
      <c r="U94" s="780"/>
      <c r="V94" s="790"/>
      <c r="W94" s="780"/>
      <c r="X94" s="790"/>
      <c r="Y94" s="780"/>
      <c r="Z94" s="790"/>
      <c r="AA94" s="2014"/>
      <c r="AB94" s="2014"/>
      <c r="AC94" s="780"/>
      <c r="AD94" s="790"/>
      <c r="AE94" s="780"/>
      <c r="AF94" s="790"/>
      <c r="AG94" s="780"/>
      <c r="AH94" s="790"/>
      <c r="AI94" s="780"/>
      <c r="AJ94" s="790"/>
      <c r="AK94" s="780"/>
      <c r="AL94" s="790"/>
      <c r="AM94" s="352"/>
    </row>
    <row r="95" spans="1:42" s="351" customFormat="1">
      <c r="A95" s="1036" t="s">
        <v>201</v>
      </c>
      <c r="B95" s="2169"/>
      <c r="C95" s="2014"/>
      <c r="D95" s="2367"/>
      <c r="E95" s="780"/>
      <c r="F95" s="790"/>
      <c r="G95" s="780"/>
      <c r="H95" s="790"/>
      <c r="I95" s="780"/>
      <c r="J95" s="790"/>
      <c r="K95" s="780"/>
      <c r="L95" s="790"/>
      <c r="M95" s="780"/>
      <c r="N95" s="790"/>
      <c r="O95" s="2014"/>
      <c r="P95" s="2014"/>
      <c r="Q95" s="780"/>
      <c r="R95" s="790"/>
      <c r="S95" s="780"/>
      <c r="T95" s="790"/>
      <c r="U95" s="780"/>
      <c r="V95" s="790"/>
      <c r="W95" s="780"/>
      <c r="X95" s="790"/>
      <c r="Y95" s="780"/>
      <c r="Z95" s="790"/>
      <c r="AA95" s="2014"/>
      <c r="AB95" s="2014"/>
      <c r="AC95" s="780"/>
      <c r="AD95" s="790"/>
      <c r="AE95" s="780"/>
      <c r="AF95" s="790"/>
      <c r="AG95" s="780"/>
      <c r="AH95" s="790"/>
      <c r="AI95" s="780"/>
      <c r="AJ95" s="790"/>
      <c r="AK95" s="780"/>
      <c r="AL95" s="790"/>
      <c r="AM95" s="352"/>
    </row>
    <row r="96" spans="1:42" s="351" customFormat="1">
      <c r="A96" s="1036" t="s">
        <v>203</v>
      </c>
      <c r="B96" s="2169"/>
      <c r="C96" s="2014"/>
      <c r="D96" s="2367"/>
      <c r="E96" s="780"/>
      <c r="F96" s="790"/>
      <c r="G96" s="780"/>
      <c r="H96" s="790"/>
      <c r="I96" s="780"/>
      <c r="J96" s="790"/>
      <c r="K96" s="780"/>
      <c r="L96" s="790"/>
      <c r="M96" s="780"/>
      <c r="N96" s="790"/>
      <c r="O96" s="2014"/>
      <c r="P96" s="2014"/>
      <c r="Q96" s="780"/>
      <c r="R96" s="790"/>
      <c r="S96" s="780"/>
      <c r="T96" s="790"/>
      <c r="U96" s="780"/>
      <c r="V96" s="790"/>
      <c r="W96" s="780"/>
      <c r="X96" s="790"/>
      <c r="Y96" s="780"/>
      <c r="Z96" s="790"/>
      <c r="AA96" s="2014"/>
      <c r="AB96" s="2014"/>
      <c r="AC96" s="780"/>
      <c r="AD96" s="790"/>
      <c r="AE96" s="780"/>
      <c r="AF96" s="790"/>
      <c r="AG96" s="780"/>
      <c r="AH96" s="790"/>
      <c r="AI96" s="780"/>
      <c r="AJ96" s="790"/>
      <c r="AK96" s="780"/>
      <c r="AL96" s="790"/>
      <c r="AM96" s="352"/>
    </row>
    <row r="97" spans="1:39" s="351" customFormat="1">
      <c r="A97" s="1036" t="s">
        <v>205</v>
      </c>
      <c r="B97" s="2169"/>
      <c r="C97" s="2014"/>
      <c r="D97" s="2367"/>
      <c r="E97" s="780"/>
      <c r="F97" s="790"/>
      <c r="G97" s="780"/>
      <c r="H97" s="790"/>
      <c r="I97" s="780"/>
      <c r="J97" s="790"/>
      <c r="K97" s="780"/>
      <c r="L97" s="790"/>
      <c r="M97" s="780"/>
      <c r="N97" s="790"/>
      <c r="O97" s="2014"/>
      <c r="P97" s="2014"/>
      <c r="Q97" s="780"/>
      <c r="R97" s="790"/>
      <c r="S97" s="780"/>
      <c r="T97" s="790"/>
      <c r="U97" s="780"/>
      <c r="V97" s="790"/>
      <c r="W97" s="780"/>
      <c r="X97" s="790"/>
      <c r="Y97" s="780"/>
      <c r="Z97" s="790"/>
      <c r="AA97" s="2014"/>
      <c r="AB97" s="2014"/>
      <c r="AC97" s="780"/>
      <c r="AD97" s="790"/>
      <c r="AE97" s="780"/>
      <c r="AF97" s="790"/>
      <c r="AG97" s="780"/>
      <c r="AH97" s="790"/>
      <c r="AI97" s="780"/>
      <c r="AJ97" s="790"/>
      <c r="AK97" s="780"/>
      <c r="AL97" s="790"/>
      <c r="AM97" s="352"/>
    </row>
    <row r="98" spans="1:39" s="351" customFormat="1">
      <c r="A98" s="1036" t="s">
        <v>207</v>
      </c>
      <c r="B98" s="2169"/>
      <c r="C98" s="2014"/>
      <c r="D98" s="2367"/>
      <c r="E98" s="780"/>
      <c r="F98" s="790"/>
      <c r="G98" s="780"/>
      <c r="H98" s="790"/>
      <c r="I98" s="780"/>
      <c r="J98" s="790"/>
      <c r="K98" s="780"/>
      <c r="L98" s="790"/>
      <c r="M98" s="780"/>
      <c r="N98" s="790"/>
      <c r="O98" s="2014"/>
      <c r="P98" s="2014"/>
      <c r="Q98" s="780"/>
      <c r="R98" s="790"/>
      <c r="S98" s="780"/>
      <c r="T98" s="790"/>
      <c r="U98" s="780"/>
      <c r="V98" s="790"/>
      <c r="W98" s="780"/>
      <c r="X98" s="790"/>
      <c r="Y98" s="780"/>
      <c r="Z98" s="790"/>
      <c r="AA98" s="2014"/>
      <c r="AB98" s="2014"/>
      <c r="AC98" s="780"/>
      <c r="AD98" s="790"/>
      <c r="AE98" s="780"/>
      <c r="AF98" s="790"/>
      <c r="AG98" s="780"/>
      <c r="AH98" s="790"/>
      <c r="AI98" s="780"/>
      <c r="AJ98" s="790"/>
      <c r="AK98" s="780"/>
      <c r="AL98" s="790"/>
      <c r="AM98" s="352"/>
    </row>
    <row r="99" spans="1:39" s="351" customFormat="1" ht="15.75" thickBot="1">
      <c r="A99" s="1234" t="s">
        <v>1261</v>
      </c>
      <c r="B99" s="2169"/>
      <c r="C99" s="2015"/>
      <c r="D99" s="2368"/>
      <c r="E99" s="2164"/>
      <c r="F99" s="2165"/>
      <c r="G99" s="2164"/>
      <c r="H99" s="2165"/>
      <c r="I99" s="2164"/>
      <c r="J99" s="2165"/>
      <c r="K99" s="2164"/>
      <c r="L99" s="2165"/>
      <c r="M99" s="2164"/>
      <c r="N99" s="2165"/>
      <c r="O99" s="2015"/>
      <c r="P99" s="2015"/>
      <c r="Q99" s="2164"/>
      <c r="R99" s="2165"/>
      <c r="S99" s="2164"/>
      <c r="T99" s="2165"/>
      <c r="U99" s="2164"/>
      <c r="V99" s="2165"/>
      <c r="W99" s="2164"/>
      <c r="X99" s="2165"/>
      <c r="Y99" s="2164"/>
      <c r="Z99" s="2165"/>
      <c r="AA99" s="2015"/>
      <c r="AB99" s="2015"/>
      <c r="AC99" s="2164"/>
      <c r="AD99" s="2165"/>
      <c r="AE99" s="2164"/>
      <c r="AF99" s="2165"/>
      <c r="AG99" s="2164"/>
      <c r="AH99" s="2165"/>
      <c r="AI99" s="2164"/>
      <c r="AJ99" s="2165"/>
      <c r="AK99" s="2164"/>
      <c r="AL99" s="2165"/>
      <c r="AM99" s="352"/>
    </row>
    <row r="100" spans="1:39" s="351" customFormat="1" ht="15.75" thickBot="1">
      <c r="A100" s="3623" t="s">
        <v>1231</v>
      </c>
      <c r="B100" s="3624"/>
      <c r="C100" s="2012"/>
      <c r="D100" s="2012"/>
      <c r="E100" s="2369"/>
      <c r="F100" s="2370"/>
      <c r="G100" s="2369"/>
      <c r="H100" s="2370"/>
      <c r="I100" s="2369"/>
      <c r="J100" s="2370"/>
      <c r="K100" s="2369"/>
      <c r="L100" s="2370"/>
      <c r="M100" s="2369"/>
      <c r="N100" s="2370"/>
      <c r="O100" s="2012"/>
      <c r="P100" s="2012"/>
      <c r="Q100" s="2369"/>
      <c r="R100" s="2370"/>
      <c r="S100" s="2369"/>
      <c r="T100" s="2370"/>
      <c r="U100" s="2369"/>
      <c r="V100" s="2370"/>
      <c r="W100" s="2369"/>
      <c r="X100" s="2370"/>
      <c r="Y100" s="2369"/>
      <c r="Z100" s="2370"/>
      <c r="AA100" s="2012"/>
      <c r="AB100" s="2012"/>
      <c r="AC100" s="2369"/>
      <c r="AD100" s="2370"/>
      <c r="AE100" s="2369"/>
      <c r="AF100" s="2370"/>
      <c r="AG100" s="2369"/>
      <c r="AH100" s="2370"/>
      <c r="AI100" s="2369"/>
      <c r="AJ100" s="2370"/>
      <c r="AK100" s="2369"/>
      <c r="AL100" s="2370"/>
      <c r="AM100" s="352"/>
    </row>
    <row r="101" spans="1:39" s="351" customFormat="1">
      <c r="A101" s="1036" t="s">
        <v>105</v>
      </c>
      <c r="B101" s="3188" t="s">
        <v>1641</v>
      </c>
      <c r="C101" s="2013"/>
      <c r="D101" s="2366"/>
      <c r="E101" s="804"/>
      <c r="F101" s="802"/>
      <c r="G101" s="804"/>
      <c r="H101" s="802"/>
      <c r="I101" s="804"/>
      <c r="J101" s="802"/>
      <c r="K101" s="804"/>
      <c r="L101" s="802"/>
      <c r="M101" s="804"/>
      <c r="N101" s="802"/>
      <c r="O101" s="2013"/>
      <c r="P101" s="2013"/>
      <c r="Q101" s="804"/>
      <c r="R101" s="802"/>
      <c r="S101" s="804"/>
      <c r="T101" s="802"/>
      <c r="U101" s="804"/>
      <c r="V101" s="802"/>
      <c r="W101" s="804"/>
      <c r="X101" s="802"/>
      <c r="Y101" s="804"/>
      <c r="Z101" s="802"/>
      <c r="AA101" s="2013"/>
      <c r="AB101" s="2013"/>
      <c r="AC101" s="804">
        <v>5</v>
      </c>
      <c r="AD101" s="802"/>
      <c r="AE101" s="804">
        <v>31</v>
      </c>
      <c r="AF101" s="802"/>
      <c r="AG101" s="804">
        <v>31</v>
      </c>
      <c r="AH101" s="802"/>
      <c r="AI101" s="804">
        <v>30</v>
      </c>
      <c r="AJ101" s="802"/>
      <c r="AK101" s="804">
        <v>31</v>
      </c>
      <c r="AL101" s="802"/>
      <c r="AM101" s="352"/>
    </row>
    <row r="102" spans="1:39" s="351" customFormat="1">
      <c r="A102" s="1036" t="s">
        <v>107</v>
      </c>
      <c r="B102" s="3189" t="s">
        <v>1642</v>
      </c>
      <c r="C102" s="2014"/>
      <c r="D102" s="2367"/>
      <c r="E102" s="780"/>
      <c r="F102" s="790"/>
      <c r="G102" s="780"/>
      <c r="H102" s="790"/>
      <c r="I102" s="780"/>
      <c r="J102" s="790"/>
      <c r="K102" s="780"/>
      <c r="L102" s="790"/>
      <c r="M102" s="780"/>
      <c r="N102" s="790"/>
      <c r="O102" s="2014"/>
      <c r="P102" s="2014"/>
      <c r="Q102" s="780"/>
      <c r="R102" s="790"/>
      <c r="S102" s="780"/>
      <c r="T102" s="790"/>
      <c r="U102" s="780"/>
      <c r="V102" s="790"/>
      <c r="W102" s="780"/>
      <c r="X102" s="790"/>
      <c r="Y102" s="780"/>
      <c r="Z102" s="790"/>
      <c r="AA102" s="2014"/>
      <c r="AB102" s="2014"/>
      <c r="AC102" s="780">
        <v>5</v>
      </c>
      <c r="AD102" s="790"/>
      <c r="AE102" s="780">
        <v>32</v>
      </c>
      <c r="AF102" s="790"/>
      <c r="AG102" s="780">
        <v>31</v>
      </c>
      <c r="AH102" s="790"/>
      <c r="AI102" s="780">
        <v>31</v>
      </c>
      <c r="AJ102" s="790"/>
      <c r="AK102" s="780">
        <v>31</v>
      </c>
      <c r="AL102" s="790"/>
      <c r="AM102" s="352"/>
    </row>
    <row r="103" spans="1:39" s="351" customFormat="1">
      <c r="A103" s="1036" t="s">
        <v>225</v>
      </c>
      <c r="B103" s="3189" t="s">
        <v>1643</v>
      </c>
      <c r="C103" s="2014"/>
      <c r="D103" s="2367"/>
      <c r="E103" s="780"/>
      <c r="F103" s="790"/>
      <c r="G103" s="780"/>
      <c r="H103" s="790"/>
      <c r="I103" s="780"/>
      <c r="J103" s="790"/>
      <c r="K103" s="780"/>
      <c r="L103" s="790"/>
      <c r="M103" s="780"/>
      <c r="N103" s="790"/>
      <c r="O103" s="2014"/>
      <c r="P103" s="2014"/>
      <c r="Q103" s="780"/>
      <c r="R103" s="790"/>
      <c r="S103" s="780"/>
      <c r="T103" s="790"/>
      <c r="U103" s="780"/>
      <c r="V103" s="790"/>
      <c r="W103" s="780"/>
      <c r="X103" s="790"/>
      <c r="Y103" s="780"/>
      <c r="Z103" s="790"/>
      <c r="AA103" s="2014"/>
      <c r="AB103" s="2014"/>
      <c r="AC103" s="780"/>
      <c r="AD103" s="790"/>
      <c r="AE103" s="780"/>
      <c r="AF103" s="790"/>
      <c r="AG103" s="780">
        <v>241</v>
      </c>
      <c r="AH103" s="790"/>
      <c r="AI103" s="780">
        <v>237</v>
      </c>
      <c r="AJ103" s="790"/>
      <c r="AK103" s="780">
        <v>237</v>
      </c>
      <c r="AL103" s="790"/>
      <c r="AM103" s="352"/>
    </row>
    <row r="104" spans="1:39" s="351" customFormat="1">
      <c r="A104" s="1036" t="s">
        <v>306</v>
      </c>
      <c r="B104" s="3189" t="s">
        <v>1644</v>
      </c>
      <c r="C104" s="2014"/>
      <c r="D104" s="2367"/>
      <c r="E104" s="780"/>
      <c r="F104" s="790"/>
      <c r="G104" s="780"/>
      <c r="H104" s="790"/>
      <c r="I104" s="780"/>
      <c r="J104" s="790"/>
      <c r="K104" s="780"/>
      <c r="L104" s="790"/>
      <c r="M104" s="780"/>
      <c r="N104" s="790"/>
      <c r="O104" s="2014"/>
      <c r="P104" s="2014"/>
      <c r="Q104" s="780"/>
      <c r="R104" s="790"/>
      <c r="S104" s="780"/>
      <c r="T104" s="790"/>
      <c r="U104" s="780"/>
      <c r="V104" s="790"/>
      <c r="W104" s="780"/>
      <c r="X104" s="790"/>
      <c r="Y104" s="780"/>
      <c r="Z104" s="790"/>
      <c r="AA104" s="2014"/>
      <c r="AB104" s="2014"/>
      <c r="AC104" s="780"/>
      <c r="AD104" s="790"/>
      <c r="AE104" s="780"/>
      <c r="AF104" s="790"/>
      <c r="AG104" s="780">
        <v>175</v>
      </c>
      <c r="AH104" s="790"/>
      <c r="AI104" s="780">
        <v>172</v>
      </c>
      <c r="AJ104" s="790"/>
      <c r="AK104" s="780">
        <v>171</v>
      </c>
      <c r="AL104" s="790"/>
      <c r="AM104" s="352"/>
    </row>
    <row r="105" spans="1:39" s="351" customFormat="1">
      <c r="A105" s="1036" t="s">
        <v>308</v>
      </c>
      <c r="B105" s="3189" t="s">
        <v>1645</v>
      </c>
      <c r="C105" s="2014"/>
      <c r="D105" s="2367"/>
      <c r="E105" s="780"/>
      <c r="F105" s="790"/>
      <c r="G105" s="780"/>
      <c r="H105" s="790"/>
      <c r="I105" s="780"/>
      <c r="J105" s="790"/>
      <c r="K105" s="780"/>
      <c r="L105" s="790"/>
      <c r="M105" s="780"/>
      <c r="N105" s="790"/>
      <c r="O105" s="2014"/>
      <c r="P105" s="2014"/>
      <c r="Q105" s="780"/>
      <c r="R105" s="790"/>
      <c r="S105" s="780"/>
      <c r="T105" s="790"/>
      <c r="U105" s="780"/>
      <c r="V105" s="790"/>
      <c r="W105" s="780"/>
      <c r="X105" s="790"/>
      <c r="Y105" s="780"/>
      <c r="Z105" s="790"/>
      <c r="AA105" s="2014"/>
      <c r="AB105" s="2014"/>
      <c r="AC105" s="780"/>
      <c r="AD105" s="790"/>
      <c r="AE105" s="780"/>
      <c r="AF105" s="790"/>
      <c r="AG105" s="780">
        <v>49</v>
      </c>
      <c r="AH105" s="790"/>
      <c r="AI105" s="780">
        <v>48</v>
      </c>
      <c r="AJ105" s="790"/>
      <c r="AK105" s="780">
        <v>48</v>
      </c>
      <c r="AL105" s="790"/>
      <c r="AM105" s="352"/>
    </row>
    <row r="106" spans="1:39" s="351" customFormat="1">
      <c r="A106" s="1036" t="s">
        <v>310</v>
      </c>
      <c r="B106" s="3189" t="s">
        <v>1646</v>
      </c>
      <c r="C106" s="2014"/>
      <c r="D106" s="2367"/>
      <c r="E106" s="780"/>
      <c r="F106" s="790"/>
      <c r="G106" s="780"/>
      <c r="H106" s="790"/>
      <c r="I106" s="780"/>
      <c r="J106" s="790"/>
      <c r="K106" s="780"/>
      <c r="L106" s="790"/>
      <c r="M106" s="780"/>
      <c r="N106" s="790"/>
      <c r="O106" s="2014"/>
      <c r="P106" s="2014"/>
      <c r="Q106" s="780"/>
      <c r="R106" s="790"/>
      <c r="S106" s="780"/>
      <c r="T106" s="790"/>
      <c r="U106" s="780"/>
      <c r="V106" s="790"/>
      <c r="W106" s="780"/>
      <c r="X106" s="790"/>
      <c r="Y106" s="780"/>
      <c r="Z106" s="790"/>
      <c r="AA106" s="2014"/>
      <c r="AB106" s="2014"/>
      <c r="AC106" s="780"/>
      <c r="AD106" s="790"/>
      <c r="AE106" s="780"/>
      <c r="AF106" s="790"/>
      <c r="AG106" s="3197"/>
      <c r="AH106" s="790"/>
      <c r="AI106" s="780">
        <v>89</v>
      </c>
      <c r="AJ106" s="790"/>
      <c r="AK106" s="780">
        <v>87</v>
      </c>
      <c r="AL106" s="790"/>
      <c r="AM106" s="352"/>
    </row>
    <row r="107" spans="1:39" s="351" customFormat="1">
      <c r="A107" s="1036" t="s">
        <v>312</v>
      </c>
      <c r="B107" s="3190"/>
      <c r="C107" s="2014"/>
      <c r="D107" s="2367"/>
      <c r="E107" s="780"/>
      <c r="F107" s="790"/>
      <c r="G107" s="780"/>
      <c r="H107" s="790"/>
      <c r="I107" s="780"/>
      <c r="J107" s="790"/>
      <c r="K107" s="780"/>
      <c r="L107" s="790"/>
      <c r="M107" s="780"/>
      <c r="N107" s="790"/>
      <c r="O107" s="2014"/>
      <c r="P107" s="2014"/>
      <c r="Q107" s="780"/>
      <c r="R107" s="790"/>
      <c r="S107" s="780"/>
      <c r="T107" s="790"/>
      <c r="U107" s="780"/>
      <c r="V107" s="790"/>
      <c r="W107" s="780"/>
      <c r="X107" s="790"/>
      <c r="Y107" s="780"/>
      <c r="Z107" s="790"/>
      <c r="AA107" s="2014"/>
      <c r="AB107" s="2014"/>
      <c r="AC107" s="780"/>
      <c r="AD107" s="790"/>
      <c r="AE107" s="780"/>
      <c r="AF107" s="790"/>
      <c r="AG107" s="780"/>
      <c r="AH107" s="790"/>
      <c r="AI107" s="780"/>
      <c r="AJ107" s="790"/>
      <c r="AK107" s="780"/>
      <c r="AL107" s="790"/>
      <c r="AM107" s="352"/>
    </row>
    <row r="108" spans="1:39" s="351" customFormat="1">
      <c r="A108" s="1036" t="s">
        <v>314</v>
      </c>
      <c r="B108" s="2169"/>
      <c r="C108" s="2014"/>
      <c r="D108" s="2367"/>
      <c r="E108" s="780"/>
      <c r="F108" s="790"/>
      <c r="G108" s="780"/>
      <c r="H108" s="790"/>
      <c r="I108" s="780"/>
      <c r="J108" s="790"/>
      <c r="K108" s="780"/>
      <c r="L108" s="790"/>
      <c r="M108" s="780"/>
      <c r="N108" s="790"/>
      <c r="O108" s="2014"/>
      <c r="P108" s="2014"/>
      <c r="Q108" s="780"/>
      <c r="R108" s="790"/>
      <c r="S108" s="780"/>
      <c r="T108" s="790"/>
      <c r="U108" s="780"/>
      <c r="V108" s="790"/>
      <c r="W108" s="780"/>
      <c r="X108" s="790"/>
      <c r="Y108" s="780"/>
      <c r="Z108" s="790"/>
      <c r="AA108" s="2014"/>
      <c r="AB108" s="2014"/>
      <c r="AC108" s="780"/>
      <c r="AD108" s="790"/>
      <c r="AE108" s="780"/>
      <c r="AF108" s="790"/>
      <c r="AG108" s="780"/>
      <c r="AH108" s="790"/>
      <c r="AI108" s="780"/>
      <c r="AJ108" s="790"/>
      <c r="AK108" s="780"/>
      <c r="AL108" s="790"/>
      <c r="AM108" s="352"/>
    </row>
    <row r="109" spans="1:39" s="351" customFormat="1">
      <c r="A109" s="1036" t="s">
        <v>316</v>
      </c>
      <c r="B109" s="2169"/>
      <c r="C109" s="2014"/>
      <c r="D109" s="2367"/>
      <c r="E109" s="780"/>
      <c r="F109" s="790"/>
      <c r="G109" s="780"/>
      <c r="H109" s="790"/>
      <c r="I109" s="780"/>
      <c r="J109" s="790"/>
      <c r="K109" s="780"/>
      <c r="L109" s="790"/>
      <c r="M109" s="780"/>
      <c r="N109" s="790"/>
      <c r="O109" s="2014"/>
      <c r="P109" s="2014"/>
      <c r="Q109" s="780"/>
      <c r="R109" s="790"/>
      <c r="S109" s="780"/>
      <c r="T109" s="790"/>
      <c r="U109" s="780"/>
      <c r="V109" s="790"/>
      <c r="W109" s="780"/>
      <c r="X109" s="790"/>
      <c r="Y109" s="780"/>
      <c r="Z109" s="790"/>
      <c r="AA109" s="2014"/>
      <c r="AB109" s="2014"/>
      <c r="AC109" s="780"/>
      <c r="AD109" s="790"/>
      <c r="AE109" s="780"/>
      <c r="AF109" s="790"/>
      <c r="AG109" s="780"/>
      <c r="AH109" s="790"/>
      <c r="AI109" s="780"/>
      <c r="AJ109" s="790"/>
      <c r="AK109" s="780"/>
      <c r="AL109" s="790"/>
      <c r="AM109" s="352"/>
    </row>
    <row r="110" spans="1:39" s="351" customFormat="1">
      <c r="A110" s="1036" t="s">
        <v>320</v>
      </c>
      <c r="B110" s="2169"/>
      <c r="C110" s="2014"/>
      <c r="D110" s="2367"/>
      <c r="E110" s="780"/>
      <c r="F110" s="790"/>
      <c r="G110" s="780"/>
      <c r="H110" s="790"/>
      <c r="I110" s="780"/>
      <c r="J110" s="790"/>
      <c r="K110" s="780"/>
      <c r="L110" s="790"/>
      <c r="M110" s="780"/>
      <c r="N110" s="790"/>
      <c r="O110" s="2014"/>
      <c r="P110" s="2014"/>
      <c r="Q110" s="780"/>
      <c r="R110" s="790"/>
      <c r="S110" s="780"/>
      <c r="T110" s="790"/>
      <c r="U110" s="780"/>
      <c r="V110" s="790"/>
      <c r="W110" s="780"/>
      <c r="X110" s="790"/>
      <c r="Y110" s="780"/>
      <c r="Z110" s="790"/>
      <c r="AA110" s="2014"/>
      <c r="AB110" s="2014"/>
      <c r="AC110" s="780"/>
      <c r="AD110" s="790"/>
      <c r="AE110" s="780"/>
      <c r="AF110" s="790"/>
      <c r="AG110" s="780"/>
      <c r="AH110" s="790"/>
      <c r="AI110" s="780"/>
      <c r="AJ110" s="790"/>
      <c r="AK110" s="780"/>
      <c r="AL110" s="790"/>
      <c r="AM110" s="352"/>
    </row>
    <row r="111" spans="1:39" s="351" customFormat="1">
      <c r="A111" s="1036" t="s">
        <v>322</v>
      </c>
      <c r="B111" s="2169"/>
      <c r="C111" s="2014"/>
      <c r="D111" s="2367"/>
      <c r="E111" s="780"/>
      <c r="F111" s="790"/>
      <c r="G111" s="780"/>
      <c r="H111" s="790"/>
      <c r="I111" s="780"/>
      <c r="J111" s="790"/>
      <c r="K111" s="780"/>
      <c r="L111" s="790"/>
      <c r="M111" s="780"/>
      <c r="N111" s="790"/>
      <c r="O111" s="2014"/>
      <c r="P111" s="2014"/>
      <c r="Q111" s="780"/>
      <c r="R111" s="790"/>
      <c r="S111" s="780"/>
      <c r="T111" s="790"/>
      <c r="U111" s="780"/>
      <c r="V111" s="790"/>
      <c r="W111" s="780"/>
      <c r="X111" s="790"/>
      <c r="Y111" s="780"/>
      <c r="Z111" s="790"/>
      <c r="AA111" s="2014"/>
      <c r="AB111" s="2014"/>
      <c r="AC111" s="780"/>
      <c r="AD111" s="790"/>
      <c r="AE111" s="780"/>
      <c r="AF111" s="790"/>
      <c r="AG111" s="780"/>
      <c r="AH111" s="790"/>
      <c r="AI111" s="780"/>
      <c r="AJ111" s="790"/>
      <c r="AK111" s="780"/>
      <c r="AL111" s="790"/>
      <c r="AM111" s="352"/>
    </row>
    <row r="112" spans="1:39" s="351" customFormat="1">
      <c r="A112" s="1036" t="s">
        <v>324</v>
      </c>
      <c r="B112" s="2169"/>
      <c r="C112" s="2014"/>
      <c r="D112" s="2367"/>
      <c r="E112" s="780"/>
      <c r="F112" s="790"/>
      <c r="G112" s="780"/>
      <c r="H112" s="790"/>
      <c r="I112" s="780"/>
      <c r="J112" s="790"/>
      <c r="K112" s="780"/>
      <c r="L112" s="790"/>
      <c r="M112" s="780"/>
      <c r="N112" s="790"/>
      <c r="O112" s="2014"/>
      <c r="P112" s="2014"/>
      <c r="Q112" s="780"/>
      <c r="R112" s="790"/>
      <c r="S112" s="780"/>
      <c r="T112" s="790"/>
      <c r="U112" s="780"/>
      <c r="V112" s="790"/>
      <c r="W112" s="780"/>
      <c r="X112" s="790"/>
      <c r="Y112" s="780"/>
      <c r="Z112" s="790"/>
      <c r="AA112" s="2014"/>
      <c r="AB112" s="2014"/>
      <c r="AC112" s="780"/>
      <c r="AD112" s="790"/>
      <c r="AE112" s="780"/>
      <c r="AF112" s="790"/>
      <c r="AG112" s="780"/>
      <c r="AH112" s="790"/>
      <c r="AI112" s="780"/>
      <c r="AJ112" s="790"/>
      <c r="AK112" s="780"/>
      <c r="AL112" s="790"/>
      <c r="AM112" s="352"/>
    </row>
    <row r="113" spans="1:39" s="351" customFormat="1">
      <c r="A113" s="1036" t="s">
        <v>326</v>
      </c>
      <c r="B113" s="2169"/>
      <c r="C113" s="2014"/>
      <c r="D113" s="2367"/>
      <c r="E113" s="780"/>
      <c r="F113" s="790"/>
      <c r="G113" s="780"/>
      <c r="H113" s="790"/>
      <c r="I113" s="780"/>
      <c r="J113" s="790"/>
      <c r="K113" s="780"/>
      <c r="L113" s="790"/>
      <c r="M113" s="780"/>
      <c r="N113" s="790"/>
      <c r="O113" s="2014"/>
      <c r="P113" s="2014"/>
      <c r="Q113" s="780"/>
      <c r="R113" s="790"/>
      <c r="S113" s="780"/>
      <c r="T113" s="790"/>
      <c r="U113" s="780"/>
      <c r="V113" s="790"/>
      <c r="W113" s="780"/>
      <c r="X113" s="790"/>
      <c r="Y113" s="780"/>
      <c r="Z113" s="790"/>
      <c r="AA113" s="2014"/>
      <c r="AB113" s="2014"/>
      <c r="AC113" s="780"/>
      <c r="AD113" s="790"/>
      <c r="AE113" s="780"/>
      <c r="AF113" s="790"/>
      <c r="AG113" s="780"/>
      <c r="AH113" s="790"/>
      <c r="AI113" s="780"/>
      <c r="AJ113" s="790"/>
      <c r="AK113" s="780"/>
      <c r="AL113" s="790"/>
      <c r="AM113" s="352"/>
    </row>
    <row r="114" spans="1:39" s="351" customFormat="1">
      <c r="A114" s="1036" t="s">
        <v>620</v>
      </c>
      <c r="B114" s="2169"/>
      <c r="C114" s="2014"/>
      <c r="D114" s="2367"/>
      <c r="E114" s="780"/>
      <c r="F114" s="790"/>
      <c r="G114" s="780"/>
      <c r="H114" s="790"/>
      <c r="I114" s="780"/>
      <c r="J114" s="790"/>
      <c r="K114" s="780"/>
      <c r="L114" s="790"/>
      <c r="M114" s="780"/>
      <c r="N114" s="790"/>
      <c r="O114" s="2014"/>
      <c r="P114" s="2014"/>
      <c r="Q114" s="780"/>
      <c r="R114" s="790"/>
      <c r="S114" s="780"/>
      <c r="T114" s="790"/>
      <c r="U114" s="780"/>
      <c r="V114" s="790"/>
      <c r="W114" s="780"/>
      <c r="X114" s="790"/>
      <c r="Y114" s="780"/>
      <c r="Z114" s="790"/>
      <c r="AA114" s="2014"/>
      <c r="AB114" s="2014"/>
      <c r="AC114" s="780"/>
      <c r="AD114" s="790"/>
      <c r="AE114" s="780"/>
      <c r="AF114" s="790"/>
      <c r="AG114" s="780"/>
      <c r="AH114" s="790"/>
      <c r="AI114" s="780"/>
      <c r="AJ114" s="790"/>
      <c r="AK114" s="780"/>
      <c r="AL114" s="790"/>
      <c r="AM114" s="352"/>
    </row>
    <row r="115" spans="1:39" s="351" customFormat="1" ht="15.75" thickBot="1">
      <c r="A115" s="1036" t="s">
        <v>811</v>
      </c>
      <c r="B115" s="2169"/>
      <c r="C115" s="2015"/>
      <c r="D115" s="2368"/>
      <c r="E115" s="2164"/>
      <c r="F115" s="2165"/>
      <c r="G115" s="2164"/>
      <c r="H115" s="2165"/>
      <c r="I115" s="2164"/>
      <c r="J115" s="2165"/>
      <c r="K115" s="2164"/>
      <c r="L115" s="2165"/>
      <c r="M115" s="2164"/>
      <c r="N115" s="2165"/>
      <c r="O115" s="2015"/>
      <c r="P115" s="2015"/>
      <c r="Q115" s="2164"/>
      <c r="R115" s="2165"/>
      <c r="S115" s="2164"/>
      <c r="T115" s="2165"/>
      <c r="U115" s="2164"/>
      <c r="V115" s="2165"/>
      <c r="W115" s="2164"/>
      <c r="X115" s="2165"/>
      <c r="Y115" s="2164"/>
      <c r="Z115" s="2165"/>
      <c r="AA115" s="2015"/>
      <c r="AB115" s="2015"/>
      <c r="AC115" s="2164"/>
      <c r="AD115" s="2165"/>
      <c r="AE115" s="2164"/>
      <c r="AF115" s="2165"/>
      <c r="AG115" s="2164"/>
      <c r="AH115" s="2165"/>
      <c r="AI115" s="2164"/>
      <c r="AJ115" s="2165"/>
      <c r="AK115" s="2164"/>
      <c r="AL115" s="2165"/>
      <c r="AM115" s="352"/>
    </row>
    <row r="116" spans="1:39" s="351" customFormat="1">
      <c r="A116" s="366"/>
      <c r="B116" s="367" t="str">
        <f>'Приложение '!B56</f>
        <v>Дата: 27.08.2018 г.</v>
      </c>
      <c r="C116" s="352"/>
      <c r="D116" s="352"/>
      <c r="E116" s="352"/>
      <c r="F116" s="352"/>
      <c r="G116" s="352"/>
      <c r="H116" s="381"/>
      <c r="I116" s="352"/>
      <c r="J116" s="381"/>
      <c r="K116" s="352"/>
      <c r="L116" s="352"/>
      <c r="M116" s="352"/>
      <c r="N116" s="381"/>
      <c r="O116" s="352"/>
      <c r="P116" s="352"/>
      <c r="Q116" s="352"/>
      <c r="R116" s="381"/>
      <c r="S116" s="352"/>
      <c r="T116" s="381"/>
      <c r="U116" s="352"/>
      <c r="V116" s="381"/>
      <c r="W116" s="352"/>
      <c r="X116" s="381"/>
      <c r="Y116" s="352"/>
      <c r="Z116" s="381"/>
      <c r="AA116" s="352"/>
      <c r="AB116" s="352"/>
      <c r="AC116" s="352"/>
      <c r="AD116" s="381"/>
      <c r="AE116" s="352"/>
      <c r="AF116" s="381"/>
      <c r="AG116" s="352"/>
      <c r="AH116" s="381"/>
      <c r="AI116" s="352"/>
      <c r="AJ116" s="381"/>
      <c r="AK116" s="352"/>
      <c r="AL116" s="381"/>
      <c r="AM116" s="352"/>
    </row>
    <row r="117" spans="1:39" s="351" customFormat="1">
      <c r="A117" s="366"/>
      <c r="B117" s="366"/>
      <c r="C117" s="368"/>
      <c r="D117" s="368"/>
      <c r="E117" s="368"/>
      <c r="F117" s="368"/>
      <c r="G117" s="368"/>
      <c r="H117" s="383"/>
      <c r="I117" s="368"/>
      <c r="J117" s="383"/>
      <c r="K117" s="368"/>
      <c r="L117" s="368"/>
      <c r="M117" s="368"/>
      <c r="N117" s="383"/>
      <c r="O117" s="368"/>
      <c r="P117" s="368"/>
      <c r="Q117" s="368"/>
      <c r="R117" s="383"/>
      <c r="S117" s="368"/>
      <c r="T117" s="383"/>
      <c r="U117" s="368"/>
      <c r="V117" s="383"/>
      <c r="W117" s="368"/>
      <c r="X117" s="383"/>
      <c r="Y117" s="368"/>
      <c r="Z117" s="383"/>
      <c r="AA117" s="368"/>
      <c r="AB117" s="368"/>
      <c r="AC117" s="368"/>
      <c r="AD117" s="383"/>
      <c r="AE117" s="368"/>
      <c r="AF117" s="383"/>
      <c r="AG117" s="368"/>
      <c r="AH117" s="383"/>
      <c r="AI117" s="368"/>
      <c r="AJ117" s="383"/>
      <c r="AK117" s="368"/>
      <c r="AL117" s="383"/>
      <c r="AM117" s="352"/>
    </row>
    <row r="118" spans="1:39" s="351" customFormat="1">
      <c r="A118" s="366"/>
      <c r="B118" s="366"/>
      <c r="C118" s="368"/>
      <c r="D118" s="368"/>
      <c r="E118" s="368"/>
      <c r="F118" s="368"/>
      <c r="G118" s="368"/>
      <c r="H118" s="383"/>
      <c r="I118" s="368"/>
      <c r="J118" s="383"/>
      <c r="K118" s="368"/>
      <c r="L118" s="368"/>
      <c r="M118" s="368"/>
      <c r="N118" s="383"/>
      <c r="O118" s="368"/>
      <c r="P118" s="368"/>
      <c r="Q118" s="368"/>
      <c r="R118" s="383"/>
      <c r="S118" s="368"/>
      <c r="T118" s="383"/>
      <c r="U118" s="368"/>
      <c r="V118" s="383"/>
      <c r="W118" s="368"/>
      <c r="X118" s="383"/>
      <c r="Y118" s="368"/>
      <c r="Z118" s="383"/>
      <c r="AA118" s="368"/>
      <c r="AB118" s="368"/>
      <c r="AC118" s="368"/>
      <c r="AD118" s="383"/>
      <c r="AE118" s="494" t="str">
        <f>'12. Разходи'!X109</f>
        <v>Главен счетоводител:</v>
      </c>
      <c r="AF118" s="494"/>
      <c r="AG118" s="495" t="s">
        <v>262</v>
      </c>
      <c r="AH118" s="496"/>
      <c r="AI118" s="495"/>
      <c r="AJ118" s="383"/>
      <c r="AK118" s="368"/>
      <c r="AL118" s="383"/>
      <c r="AM118" s="352"/>
    </row>
    <row r="119" spans="1:39" s="351" customFormat="1">
      <c r="C119" s="369"/>
      <c r="D119" s="369"/>
      <c r="E119" s="369"/>
      <c r="F119" s="369"/>
      <c r="G119" s="369"/>
      <c r="H119" s="381"/>
      <c r="I119" s="369"/>
      <c r="J119" s="381"/>
      <c r="K119" s="369"/>
      <c r="L119" s="369"/>
      <c r="M119" s="369"/>
      <c r="N119" s="381"/>
      <c r="O119" s="369"/>
      <c r="P119" s="369"/>
      <c r="Q119" s="369"/>
      <c r="R119" s="381"/>
      <c r="S119" s="369"/>
      <c r="T119" s="381"/>
      <c r="U119" s="369"/>
      <c r="V119" s="381"/>
      <c r="W119" s="369"/>
      <c r="X119" s="381"/>
      <c r="Y119" s="369"/>
      <c r="Z119" s="381"/>
      <c r="AA119" s="369"/>
      <c r="AB119" s="369"/>
      <c r="AC119" s="369"/>
      <c r="AD119" s="497"/>
      <c r="AE119" s="498"/>
      <c r="AF119" s="499"/>
      <c r="AG119" s="500"/>
      <c r="AH119" s="485" t="s">
        <v>5</v>
      </c>
      <c r="AI119" s="495"/>
      <c r="AJ119" s="497"/>
      <c r="AK119" s="368"/>
      <c r="AL119" s="381"/>
      <c r="AM119" s="352"/>
    </row>
    <row r="120" spans="1:39" s="351" customFormat="1">
      <c r="A120" s="187"/>
      <c r="B120" s="370" t="s">
        <v>247</v>
      </c>
      <c r="C120" s="352"/>
      <c r="D120" s="352"/>
      <c r="E120" s="352"/>
      <c r="F120" s="352"/>
      <c r="G120" s="352"/>
      <c r="H120" s="381"/>
      <c r="I120" s="352"/>
      <c r="J120" s="381"/>
      <c r="K120" s="352"/>
      <c r="L120" s="352"/>
      <c r="M120" s="352"/>
      <c r="N120" s="381"/>
      <c r="O120" s="352"/>
      <c r="P120" s="352"/>
      <c r="Q120" s="352"/>
      <c r="R120" s="381"/>
      <c r="S120" s="352"/>
      <c r="T120" s="381"/>
      <c r="U120" s="352"/>
      <c r="V120" s="381"/>
      <c r="W120" s="352"/>
      <c r="X120" s="381"/>
      <c r="Y120" s="352"/>
      <c r="Z120" s="381"/>
      <c r="AA120" s="352"/>
      <c r="AB120" s="352"/>
      <c r="AC120" s="352"/>
      <c r="AD120" s="352"/>
      <c r="AE120" s="498"/>
      <c r="AF120" s="499"/>
      <c r="AG120" s="500"/>
      <c r="AH120" s="485"/>
      <c r="AI120" s="495"/>
      <c r="AJ120" s="352"/>
      <c r="AK120" s="352"/>
      <c r="AL120" s="381"/>
      <c r="AM120" s="352"/>
    </row>
    <row r="121" spans="1:39" s="351" customFormat="1">
      <c r="A121" s="188" t="s">
        <v>263</v>
      </c>
      <c r="B121" s="3633" t="s">
        <v>248</v>
      </c>
      <c r="C121" s="3633"/>
      <c r="D121" s="3633"/>
      <c r="E121" s="3633"/>
      <c r="F121" s="3633"/>
      <c r="G121" s="3633"/>
      <c r="H121" s="3633"/>
      <c r="I121" s="3633"/>
      <c r="J121" s="3633"/>
      <c r="K121" s="3633"/>
      <c r="L121" s="3633"/>
      <c r="M121" s="3633"/>
      <c r="N121" s="3633"/>
      <c r="O121" s="3633"/>
      <c r="P121" s="3633"/>
      <c r="Q121" s="352"/>
      <c r="R121" s="381"/>
      <c r="S121" s="352"/>
      <c r="T121" s="381"/>
      <c r="U121" s="352"/>
      <c r="V121" s="381"/>
      <c r="W121" s="352"/>
      <c r="X121" s="381"/>
      <c r="Y121" s="352"/>
      <c r="Z121" s="381"/>
      <c r="AA121" s="352"/>
      <c r="AB121" s="352"/>
      <c r="AC121" s="352"/>
      <c r="AD121" s="352"/>
      <c r="AE121" s="498"/>
      <c r="AF121" s="499"/>
      <c r="AG121" s="500"/>
      <c r="AH121" s="485"/>
      <c r="AI121" s="495"/>
      <c r="AJ121" s="352"/>
      <c r="AK121" s="352"/>
      <c r="AL121" s="381"/>
      <c r="AM121" s="352"/>
    </row>
    <row r="122" spans="1:39" s="351" customFormat="1">
      <c r="A122" s="188"/>
      <c r="B122" s="3633" t="s">
        <v>1312</v>
      </c>
      <c r="C122" s="3633"/>
      <c r="D122" s="3633"/>
      <c r="E122" s="3633"/>
      <c r="F122" s="3633"/>
      <c r="G122" s="3633"/>
      <c r="H122" s="3633"/>
      <c r="I122" s="3633"/>
      <c r="J122" s="3633"/>
      <c r="K122" s="3633"/>
      <c r="L122" s="3633"/>
      <c r="M122" s="3633"/>
      <c r="N122" s="3633"/>
      <c r="O122" s="3633"/>
      <c r="P122" s="3633"/>
      <c r="Q122" s="352"/>
      <c r="R122" s="381"/>
      <c r="S122" s="352"/>
      <c r="T122" s="381"/>
      <c r="U122" s="352"/>
      <c r="V122" s="381"/>
      <c r="W122" s="352"/>
      <c r="X122" s="381"/>
      <c r="Y122" s="352"/>
      <c r="Z122" s="381"/>
      <c r="AA122" s="352"/>
      <c r="AB122" s="352"/>
      <c r="AC122" s="352"/>
      <c r="AD122" s="352"/>
      <c r="AE122" s="498"/>
      <c r="AF122" s="499"/>
      <c r="AG122" s="500"/>
      <c r="AH122" s="485"/>
      <c r="AI122" s="495"/>
      <c r="AJ122" s="352"/>
      <c r="AK122" s="352"/>
      <c r="AL122" s="381"/>
      <c r="AM122" s="352"/>
    </row>
    <row r="123" spans="1:39" s="351" customFormat="1" ht="35.25" customHeight="1">
      <c r="A123" s="188"/>
      <c r="B123" s="3632" t="s">
        <v>1313</v>
      </c>
      <c r="C123" s="3632"/>
      <c r="D123" s="3632"/>
      <c r="E123" s="3632"/>
      <c r="F123" s="3632"/>
      <c r="G123" s="3632"/>
      <c r="H123" s="3632"/>
      <c r="I123" s="3632"/>
      <c r="J123" s="3632"/>
      <c r="K123" s="3632"/>
      <c r="L123" s="3632"/>
      <c r="M123" s="3632"/>
      <c r="N123" s="3632"/>
      <c r="O123" s="3632"/>
      <c r="P123" s="3632"/>
      <c r="Q123" s="372"/>
      <c r="R123" s="385"/>
      <c r="S123" s="372"/>
      <c r="T123" s="385"/>
      <c r="U123" s="372"/>
      <c r="V123" s="385"/>
      <c r="W123" s="372"/>
      <c r="X123" s="385"/>
      <c r="Y123" s="372"/>
      <c r="Z123" s="385"/>
      <c r="AA123" s="372"/>
      <c r="AB123" s="372"/>
      <c r="AC123" s="372"/>
      <c r="AD123" s="352"/>
      <c r="AE123" s="498"/>
      <c r="AF123" s="499"/>
      <c r="AG123" s="500"/>
      <c r="AH123" s="485"/>
      <c r="AI123" s="495"/>
      <c r="AJ123" s="352"/>
      <c r="AK123" s="364"/>
      <c r="AL123" s="382"/>
      <c r="AM123" s="352"/>
    </row>
    <row r="124" spans="1:39" s="351" customFormat="1">
      <c r="A124" s="188"/>
      <c r="B124" s="3634" t="s">
        <v>1314</v>
      </c>
      <c r="C124" s="3634"/>
      <c r="D124" s="3634"/>
      <c r="E124" s="3634"/>
      <c r="F124" s="3634"/>
      <c r="G124" s="3634"/>
      <c r="H124" s="3634"/>
      <c r="I124" s="3634"/>
      <c r="J124" s="3634"/>
      <c r="K124" s="3634"/>
      <c r="L124" s="3634"/>
      <c r="M124" s="3634"/>
      <c r="N124" s="3634"/>
      <c r="O124" s="3634"/>
      <c r="P124" s="3634"/>
      <c r="Q124" s="372"/>
      <c r="R124" s="385"/>
      <c r="S124" s="372"/>
      <c r="T124" s="385"/>
      <c r="U124" s="372"/>
      <c r="V124" s="385"/>
      <c r="W124" s="372"/>
      <c r="X124" s="385"/>
      <c r="Y124" s="372"/>
      <c r="Z124" s="385"/>
      <c r="AA124" s="372"/>
      <c r="AB124" s="372"/>
      <c r="AC124" s="372"/>
      <c r="AD124" s="352"/>
      <c r="AE124" s="352"/>
      <c r="AF124" s="494" t="str">
        <f>'12. Разходи'!X114</f>
        <v>Управител:</v>
      </c>
      <c r="AG124" s="495" t="s">
        <v>262</v>
      </c>
      <c r="AH124" s="495"/>
      <c r="AI124" s="495"/>
      <c r="AJ124" s="352"/>
      <c r="AK124" s="364"/>
      <c r="AL124" s="382"/>
      <c r="AM124" s="352"/>
    </row>
    <row r="125" spans="1:39" s="351" customFormat="1">
      <c r="A125" s="188"/>
      <c r="B125" s="3634" t="s">
        <v>1315</v>
      </c>
      <c r="C125" s="3634"/>
      <c r="D125" s="3634"/>
      <c r="E125" s="3634"/>
      <c r="F125" s="3634"/>
      <c r="G125" s="3634"/>
      <c r="H125" s="3634"/>
      <c r="I125" s="3634"/>
      <c r="J125" s="3634"/>
      <c r="K125" s="3634"/>
      <c r="L125" s="3634"/>
      <c r="M125" s="3634"/>
      <c r="N125" s="3634"/>
      <c r="O125" s="3634"/>
      <c r="P125" s="3634"/>
      <c r="Q125" s="364"/>
      <c r="R125" s="382"/>
      <c r="S125" s="364"/>
      <c r="T125" s="382"/>
      <c r="U125" s="364"/>
      <c r="V125" s="382"/>
      <c r="W125" s="364"/>
      <c r="X125" s="382"/>
      <c r="Y125" s="364"/>
      <c r="Z125" s="382"/>
      <c r="AA125" s="364"/>
      <c r="AB125" s="364"/>
      <c r="AC125" s="364"/>
      <c r="AD125" s="352"/>
      <c r="AE125" s="498"/>
      <c r="AF125" s="501"/>
      <c r="AG125" s="500"/>
      <c r="AH125" s="485" t="s">
        <v>6</v>
      </c>
      <c r="AI125" s="500"/>
      <c r="AJ125" s="352"/>
      <c r="AK125" s="364"/>
      <c r="AL125" s="382"/>
      <c r="AM125" s="352"/>
    </row>
    <row r="126" spans="1:39" s="351" customFormat="1" ht="33" customHeight="1">
      <c r="A126" s="363"/>
      <c r="B126" s="3632" t="s">
        <v>1316</v>
      </c>
      <c r="C126" s="3632"/>
      <c r="D126" s="3632"/>
      <c r="E126" s="3632"/>
      <c r="F126" s="3632"/>
      <c r="G126" s="3632"/>
      <c r="H126" s="3632"/>
      <c r="I126" s="3632"/>
      <c r="J126" s="3632"/>
      <c r="K126" s="3632"/>
      <c r="L126" s="3632"/>
      <c r="M126" s="3632"/>
      <c r="N126" s="3632"/>
      <c r="O126" s="3632"/>
      <c r="P126" s="3632"/>
      <c r="Q126" s="364"/>
      <c r="R126" s="382"/>
      <c r="S126" s="364"/>
      <c r="T126" s="382"/>
      <c r="U126" s="364"/>
      <c r="V126" s="382"/>
      <c r="W126" s="364"/>
      <c r="X126" s="382"/>
      <c r="Y126" s="364"/>
      <c r="Z126" s="382"/>
      <c r="AA126" s="364"/>
      <c r="AB126" s="364"/>
      <c r="AC126" s="364"/>
      <c r="AD126" s="352"/>
      <c r="AE126" s="352"/>
      <c r="AF126" s="352"/>
      <c r="AG126" s="352"/>
      <c r="AH126" s="352"/>
      <c r="AI126" s="352"/>
      <c r="AJ126" s="352"/>
      <c r="AK126" s="364"/>
      <c r="AL126" s="382"/>
      <c r="AM126" s="352"/>
    </row>
    <row r="127" spans="1:39" s="351" customFormat="1">
      <c r="A127" s="363"/>
      <c r="B127" s="2971" t="s">
        <v>1558</v>
      </c>
      <c r="C127" s="364"/>
      <c r="D127" s="364"/>
      <c r="E127" s="364"/>
      <c r="F127" s="364"/>
      <c r="G127" s="364"/>
      <c r="H127" s="382"/>
      <c r="I127" s="364"/>
      <c r="J127" s="382"/>
      <c r="K127" s="364"/>
      <c r="L127" s="364"/>
      <c r="M127" s="364"/>
      <c r="N127" s="382"/>
      <c r="O127" s="364"/>
      <c r="P127" s="364"/>
      <c r="Q127" s="364"/>
      <c r="R127" s="382"/>
      <c r="S127" s="364"/>
      <c r="T127" s="382"/>
      <c r="U127" s="364"/>
      <c r="V127" s="382"/>
      <c r="W127" s="364"/>
      <c r="X127" s="382"/>
      <c r="Y127" s="364"/>
      <c r="Z127" s="382"/>
      <c r="AA127" s="364"/>
      <c r="AB127" s="364"/>
      <c r="AC127" s="364"/>
      <c r="AD127" s="352"/>
      <c r="AE127" s="352"/>
      <c r="AF127" s="352"/>
      <c r="AG127" s="352"/>
      <c r="AH127" s="352"/>
      <c r="AI127" s="352"/>
      <c r="AJ127" s="352"/>
      <c r="AK127" s="364"/>
      <c r="AL127" s="382"/>
      <c r="AM127" s="352"/>
    </row>
    <row r="128" spans="1:39" s="351" customFormat="1">
      <c r="A128" s="363"/>
      <c r="B128" s="363"/>
      <c r="C128" s="364"/>
      <c r="D128" s="364"/>
      <c r="E128" s="364"/>
      <c r="F128" s="364"/>
      <c r="G128" s="364"/>
      <c r="H128" s="382"/>
      <c r="I128" s="364"/>
      <c r="J128" s="382"/>
      <c r="K128" s="364"/>
      <c r="L128" s="364"/>
      <c r="M128" s="364"/>
      <c r="N128" s="382"/>
      <c r="O128" s="364"/>
      <c r="P128" s="364"/>
      <c r="Q128" s="364"/>
      <c r="R128" s="382"/>
      <c r="S128" s="364"/>
      <c r="T128" s="382"/>
      <c r="U128" s="364"/>
      <c r="V128" s="382"/>
      <c r="W128" s="364"/>
      <c r="X128" s="382"/>
      <c r="Y128" s="364"/>
      <c r="Z128" s="382"/>
      <c r="AA128" s="364"/>
      <c r="AB128" s="364"/>
      <c r="AC128" s="364"/>
      <c r="AD128" s="352"/>
      <c r="AE128" s="352"/>
      <c r="AF128" s="364"/>
      <c r="AG128" s="364"/>
      <c r="AH128" s="364"/>
      <c r="AI128" s="364"/>
      <c r="AJ128" s="364"/>
      <c r="AK128" s="364"/>
      <c r="AL128" s="382"/>
      <c r="AM128" s="352"/>
    </row>
    <row r="129" spans="1:39" s="351" customFormat="1">
      <c r="A129" s="363"/>
      <c r="B129" s="363"/>
      <c r="C129" s="364"/>
      <c r="D129" s="364"/>
      <c r="E129" s="364"/>
      <c r="F129" s="364"/>
      <c r="G129" s="364"/>
      <c r="H129" s="382"/>
      <c r="I129" s="364"/>
      <c r="J129" s="382"/>
      <c r="K129" s="364"/>
      <c r="L129" s="364"/>
      <c r="M129" s="364"/>
      <c r="N129" s="382"/>
      <c r="O129" s="364"/>
      <c r="P129" s="364"/>
      <c r="Q129" s="364"/>
      <c r="R129" s="382"/>
      <c r="S129" s="364"/>
      <c r="T129" s="382"/>
      <c r="U129" s="364"/>
      <c r="V129" s="382"/>
      <c r="W129" s="364"/>
      <c r="X129" s="382"/>
      <c r="Y129" s="364"/>
      <c r="Z129" s="382"/>
      <c r="AA129" s="364"/>
      <c r="AB129" s="364"/>
      <c r="AC129" s="364"/>
      <c r="AD129" s="382"/>
      <c r="AE129" s="364"/>
      <c r="AF129" s="382"/>
      <c r="AG129" s="364"/>
      <c r="AH129" s="382"/>
      <c r="AI129" s="364"/>
      <c r="AJ129" s="382"/>
      <c r="AK129" s="364"/>
      <c r="AL129" s="382"/>
      <c r="AM129" s="352"/>
    </row>
    <row r="130" spans="1:39" s="351" customFormat="1">
      <c r="A130" s="363"/>
      <c r="B130" s="363"/>
      <c r="C130" s="364"/>
      <c r="D130" s="364"/>
      <c r="E130" s="364"/>
      <c r="F130" s="364"/>
      <c r="G130" s="364"/>
      <c r="H130" s="382"/>
      <c r="I130" s="364"/>
      <c r="J130" s="382"/>
      <c r="K130" s="364"/>
      <c r="L130" s="364"/>
      <c r="M130" s="364"/>
      <c r="N130" s="382"/>
      <c r="O130" s="364"/>
      <c r="P130" s="364"/>
      <c r="Q130" s="364"/>
      <c r="R130" s="382"/>
      <c r="S130" s="364"/>
      <c r="T130" s="382"/>
      <c r="U130" s="364"/>
      <c r="V130" s="382"/>
      <c r="W130" s="364"/>
      <c r="X130" s="382"/>
      <c r="Y130" s="364"/>
      <c r="Z130" s="382"/>
      <c r="AA130" s="364"/>
      <c r="AB130" s="364"/>
      <c r="AC130" s="364"/>
      <c r="AD130" s="382"/>
      <c r="AE130" s="364"/>
      <c r="AF130" s="382"/>
      <c r="AG130" s="364"/>
      <c r="AH130" s="382"/>
      <c r="AI130" s="364"/>
      <c r="AJ130" s="382"/>
      <c r="AK130" s="364"/>
      <c r="AL130" s="382"/>
      <c r="AM130" s="352"/>
    </row>
    <row r="131" spans="1:39" s="351" customFormat="1">
      <c r="A131" s="363"/>
      <c r="B131" s="363"/>
      <c r="C131" s="364"/>
      <c r="D131" s="364"/>
      <c r="E131" s="364"/>
      <c r="F131" s="364"/>
      <c r="G131" s="364"/>
      <c r="H131" s="382"/>
      <c r="I131" s="364"/>
      <c r="J131" s="382"/>
      <c r="K131" s="364"/>
      <c r="L131" s="364"/>
      <c r="M131" s="364"/>
      <c r="N131" s="382"/>
      <c r="O131" s="364"/>
      <c r="P131" s="364"/>
      <c r="Q131" s="364"/>
      <c r="R131" s="382"/>
      <c r="S131" s="364"/>
      <c r="T131" s="382"/>
      <c r="U131" s="364"/>
      <c r="V131" s="382"/>
      <c r="W131" s="364"/>
      <c r="X131" s="382"/>
      <c r="Y131" s="364"/>
      <c r="Z131" s="382"/>
      <c r="AA131" s="364"/>
      <c r="AB131" s="364"/>
      <c r="AC131" s="364"/>
      <c r="AD131" s="382"/>
      <c r="AE131" s="364"/>
      <c r="AF131" s="382"/>
      <c r="AG131" s="364"/>
      <c r="AH131" s="382"/>
      <c r="AI131" s="364"/>
      <c r="AJ131" s="382"/>
      <c r="AK131" s="364"/>
      <c r="AL131" s="382"/>
      <c r="AM131" s="352"/>
    </row>
    <row r="132" spans="1:39" s="351" customFormat="1">
      <c r="A132" s="363"/>
      <c r="B132" s="363"/>
      <c r="C132" s="364"/>
      <c r="D132" s="364"/>
      <c r="E132" s="364"/>
      <c r="F132" s="364"/>
      <c r="G132" s="364"/>
      <c r="H132" s="382"/>
      <c r="I132" s="364"/>
      <c r="J132" s="382"/>
      <c r="K132" s="364"/>
      <c r="L132" s="364"/>
      <c r="M132" s="364"/>
      <c r="N132" s="382"/>
      <c r="O132" s="364"/>
      <c r="P132" s="364"/>
      <c r="Q132" s="364"/>
      <c r="R132" s="382"/>
      <c r="S132" s="364"/>
      <c r="T132" s="382"/>
      <c r="U132" s="364"/>
      <c r="V132" s="382"/>
      <c r="W132" s="364"/>
      <c r="X132" s="382"/>
      <c r="Y132" s="364"/>
      <c r="Z132" s="382"/>
      <c r="AA132" s="364"/>
      <c r="AB132" s="364"/>
      <c r="AC132" s="364"/>
      <c r="AD132" s="382"/>
      <c r="AE132" s="364"/>
      <c r="AF132" s="382"/>
      <c r="AG132" s="364"/>
      <c r="AH132" s="382"/>
      <c r="AI132" s="364"/>
      <c r="AJ132" s="382"/>
      <c r="AK132" s="364"/>
      <c r="AL132" s="382"/>
      <c r="AM132" s="352"/>
    </row>
    <row r="133" spans="1:39" s="351" customFormat="1">
      <c r="A133" s="363"/>
      <c r="B133" s="363"/>
      <c r="C133" s="364"/>
      <c r="D133" s="364"/>
      <c r="E133" s="364"/>
      <c r="F133" s="364"/>
      <c r="G133" s="364"/>
      <c r="H133" s="382"/>
      <c r="I133" s="364"/>
      <c r="J133" s="382"/>
      <c r="K133" s="364"/>
      <c r="L133" s="364"/>
      <c r="M133" s="364"/>
      <c r="N133" s="382"/>
      <c r="O133" s="364"/>
      <c r="P133" s="364"/>
      <c r="Q133" s="364"/>
      <c r="R133" s="382"/>
      <c r="S133" s="364"/>
      <c r="T133" s="382"/>
      <c r="U133" s="364"/>
      <c r="V133" s="382"/>
      <c r="W133" s="364"/>
      <c r="X133" s="382"/>
      <c r="Y133" s="364"/>
      <c r="Z133" s="382"/>
      <c r="AA133" s="364"/>
      <c r="AB133" s="364"/>
      <c r="AC133" s="364"/>
      <c r="AD133" s="382"/>
      <c r="AE133" s="364"/>
      <c r="AF133" s="382"/>
      <c r="AG133" s="364"/>
      <c r="AH133" s="382"/>
      <c r="AI133" s="364"/>
      <c r="AJ133" s="382"/>
      <c r="AK133" s="364"/>
      <c r="AL133" s="382"/>
      <c r="AM133" s="352"/>
    </row>
    <row r="134" spans="1:39" s="351" customFormat="1">
      <c r="A134" s="363"/>
      <c r="B134" s="363"/>
      <c r="C134" s="364"/>
      <c r="D134" s="364"/>
      <c r="E134" s="364"/>
      <c r="F134" s="364"/>
      <c r="G134" s="364"/>
      <c r="H134" s="382"/>
      <c r="I134" s="364"/>
      <c r="J134" s="382"/>
      <c r="K134" s="364"/>
      <c r="L134" s="364"/>
      <c r="M134" s="364"/>
      <c r="N134" s="382"/>
      <c r="O134" s="364"/>
      <c r="P134" s="364"/>
      <c r="Q134" s="364"/>
      <c r="R134" s="382"/>
      <c r="S134" s="364"/>
      <c r="T134" s="382"/>
      <c r="U134" s="364"/>
      <c r="V134" s="382"/>
      <c r="W134" s="364"/>
      <c r="X134" s="382"/>
      <c r="Y134" s="364"/>
      <c r="Z134" s="382"/>
      <c r="AA134" s="364"/>
      <c r="AB134" s="364"/>
      <c r="AC134" s="364"/>
      <c r="AD134" s="382"/>
      <c r="AE134" s="364"/>
      <c r="AF134" s="382"/>
      <c r="AG134" s="364"/>
      <c r="AH134" s="382"/>
      <c r="AI134" s="364"/>
      <c r="AJ134" s="382"/>
      <c r="AK134" s="364"/>
      <c r="AL134" s="382"/>
      <c r="AM134" s="352"/>
    </row>
    <row r="135" spans="1:39" s="351" customFormat="1">
      <c r="A135" s="363"/>
      <c r="B135" s="363"/>
      <c r="C135" s="364"/>
      <c r="D135" s="364"/>
      <c r="E135" s="364"/>
      <c r="F135" s="364"/>
      <c r="G135" s="364"/>
      <c r="H135" s="382"/>
      <c r="I135" s="364"/>
      <c r="J135" s="382"/>
      <c r="K135" s="364"/>
      <c r="L135" s="364"/>
      <c r="M135" s="364"/>
      <c r="N135" s="382"/>
      <c r="O135" s="364"/>
      <c r="P135" s="364"/>
      <c r="Q135" s="364"/>
      <c r="R135" s="382"/>
      <c r="S135" s="364"/>
      <c r="T135" s="382"/>
      <c r="U135" s="364"/>
      <c r="V135" s="382"/>
      <c r="W135" s="364"/>
      <c r="X135" s="382"/>
      <c r="Y135" s="364"/>
      <c r="Z135" s="382"/>
      <c r="AA135" s="364"/>
      <c r="AB135" s="364"/>
      <c r="AC135" s="364"/>
      <c r="AD135" s="382"/>
      <c r="AE135" s="364"/>
      <c r="AF135" s="382"/>
      <c r="AG135" s="364"/>
      <c r="AH135" s="382"/>
      <c r="AI135" s="364"/>
      <c r="AJ135" s="382"/>
      <c r="AK135" s="364"/>
      <c r="AL135" s="382"/>
      <c r="AM135" s="352"/>
    </row>
    <row r="136" spans="1:39" s="351" customFormat="1">
      <c r="A136" s="363"/>
      <c r="B136" s="363"/>
      <c r="C136" s="364"/>
      <c r="D136" s="364"/>
      <c r="E136" s="364"/>
      <c r="F136" s="364"/>
      <c r="G136" s="364"/>
      <c r="H136" s="382"/>
      <c r="I136" s="364"/>
      <c r="J136" s="382"/>
      <c r="K136" s="364"/>
      <c r="L136" s="364"/>
      <c r="M136" s="364"/>
      <c r="N136" s="382"/>
      <c r="O136" s="364"/>
      <c r="P136" s="364"/>
      <c r="Q136" s="364"/>
      <c r="R136" s="382"/>
      <c r="S136" s="364"/>
      <c r="T136" s="382"/>
      <c r="U136" s="364"/>
      <c r="V136" s="382"/>
      <c r="W136" s="364"/>
      <c r="X136" s="382"/>
      <c r="Y136" s="364"/>
      <c r="Z136" s="382"/>
      <c r="AA136" s="364"/>
      <c r="AB136" s="364"/>
      <c r="AC136" s="364"/>
      <c r="AD136" s="382"/>
      <c r="AE136" s="364"/>
      <c r="AF136" s="382"/>
      <c r="AG136" s="364"/>
      <c r="AH136" s="382"/>
      <c r="AI136" s="364"/>
      <c r="AJ136" s="382"/>
      <c r="AK136" s="364"/>
      <c r="AL136" s="382"/>
      <c r="AM136" s="352"/>
    </row>
    <row r="137" spans="1:39" s="351" customFormat="1">
      <c r="A137" s="363"/>
      <c r="B137" s="363"/>
      <c r="C137" s="364"/>
      <c r="D137" s="364"/>
      <c r="E137" s="364"/>
      <c r="F137" s="364"/>
      <c r="G137" s="364"/>
      <c r="H137" s="382"/>
      <c r="I137" s="364"/>
      <c r="J137" s="382"/>
      <c r="K137" s="364"/>
      <c r="L137" s="364"/>
      <c r="M137" s="364"/>
      <c r="N137" s="382"/>
      <c r="O137" s="364"/>
      <c r="P137" s="364"/>
      <c r="Q137" s="364"/>
      <c r="R137" s="382"/>
      <c r="S137" s="364"/>
      <c r="T137" s="382"/>
      <c r="U137" s="364"/>
      <c r="V137" s="382"/>
      <c r="W137" s="364"/>
      <c r="X137" s="382"/>
      <c r="Y137" s="364"/>
      <c r="Z137" s="382"/>
      <c r="AA137" s="364"/>
      <c r="AB137" s="364"/>
      <c r="AC137" s="364"/>
      <c r="AD137" s="382"/>
      <c r="AE137" s="364"/>
      <c r="AF137" s="382"/>
      <c r="AG137" s="364"/>
      <c r="AH137" s="382"/>
      <c r="AI137" s="364"/>
      <c r="AJ137" s="382"/>
      <c r="AK137" s="364"/>
      <c r="AL137" s="382"/>
      <c r="AM137" s="352"/>
    </row>
    <row r="138" spans="1:39" s="351" customFormat="1">
      <c r="A138" s="363"/>
      <c r="B138" s="363"/>
      <c r="C138" s="364"/>
      <c r="D138" s="364"/>
      <c r="E138" s="364"/>
      <c r="F138" s="364"/>
      <c r="G138" s="364"/>
      <c r="H138" s="382"/>
      <c r="I138" s="364"/>
      <c r="J138" s="382"/>
      <c r="K138" s="364"/>
      <c r="L138" s="364"/>
      <c r="M138" s="364"/>
      <c r="N138" s="382"/>
      <c r="O138" s="364"/>
      <c r="P138" s="364"/>
      <c r="Q138" s="364"/>
      <c r="R138" s="382"/>
      <c r="S138" s="364"/>
      <c r="T138" s="382"/>
      <c r="U138" s="364"/>
      <c r="V138" s="382"/>
      <c r="W138" s="364"/>
      <c r="X138" s="382"/>
      <c r="Y138" s="364"/>
      <c r="Z138" s="382"/>
      <c r="AA138" s="364"/>
      <c r="AB138" s="364"/>
      <c r="AC138" s="364"/>
      <c r="AD138" s="382"/>
      <c r="AE138" s="364"/>
      <c r="AF138" s="382"/>
      <c r="AG138" s="364"/>
      <c r="AH138" s="382"/>
      <c r="AI138" s="364"/>
      <c r="AJ138" s="382"/>
      <c r="AK138" s="364"/>
      <c r="AL138" s="382"/>
      <c r="AM138" s="352"/>
    </row>
    <row r="139" spans="1:39" s="351" customFormat="1">
      <c r="A139" s="363"/>
      <c r="B139" s="363"/>
      <c r="C139" s="364"/>
      <c r="D139" s="364"/>
      <c r="E139" s="364"/>
      <c r="F139" s="364"/>
      <c r="G139" s="364"/>
      <c r="H139" s="382"/>
      <c r="I139" s="364"/>
      <c r="J139" s="382"/>
      <c r="K139" s="364"/>
      <c r="L139" s="364"/>
      <c r="M139" s="364"/>
      <c r="N139" s="382"/>
      <c r="O139" s="364"/>
      <c r="P139" s="364"/>
      <c r="Q139" s="364"/>
      <c r="R139" s="382"/>
      <c r="S139" s="364"/>
      <c r="T139" s="382"/>
      <c r="U139" s="364"/>
      <c r="V139" s="382"/>
      <c r="W139" s="364"/>
      <c r="X139" s="382"/>
      <c r="Y139" s="364"/>
      <c r="Z139" s="382"/>
      <c r="AA139" s="364"/>
      <c r="AB139" s="364"/>
      <c r="AC139" s="364"/>
      <c r="AD139" s="382"/>
      <c r="AE139" s="364"/>
      <c r="AF139" s="382"/>
      <c r="AG139" s="364"/>
      <c r="AH139" s="382"/>
      <c r="AI139" s="364"/>
      <c r="AJ139" s="382"/>
      <c r="AK139" s="364"/>
      <c r="AL139" s="382"/>
      <c r="AM139" s="352"/>
    </row>
    <row r="140" spans="1:39" s="351" customFormat="1">
      <c r="A140" s="363"/>
      <c r="B140" s="363"/>
      <c r="C140" s="364"/>
      <c r="D140" s="364"/>
      <c r="E140" s="364"/>
      <c r="F140" s="364"/>
      <c r="G140" s="364"/>
      <c r="H140" s="382"/>
      <c r="I140" s="364"/>
      <c r="J140" s="382"/>
      <c r="K140" s="364"/>
      <c r="L140" s="364"/>
      <c r="M140" s="364"/>
      <c r="N140" s="382"/>
      <c r="O140" s="364"/>
      <c r="P140" s="364"/>
      <c r="Q140" s="364"/>
      <c r="R140" s="382"/>
      <c r="S140" s="364"/>
      <c r="T140" s="382"/>
      <c r="U140" s="364"/>
      <c r="V140" s="382"/>
      <c r="W140" s="364"/>
      <c r="X140" s="382"/>
      <c r="Y140" s="364"/>
      <c r="Z140" s="382"/>
      <c r="AA140" s="364"/>
      <c r="AB140" s="364"/>
      <c r="AC140" s="364"/>
      <c r="AD140" s="382"/>
      <c r="AE140" s="364"/>
      <c r="AF140" s="382"/>
      <c r="AG140" s="364"/>
      <c r="AH140" s="382"/>
      <c r="AI140" s="364"/>
      <c r="AJ140" s="382"/>
      <c r="AK140" s="364"/>
      <c r="AL140" s="382"/>
      <c r="AM140" s="352"/>
    </row>
    <row r="141" spans="1:39" s="351" customFormat="1">
      <c r="A141" s="363"/>
      <c r="B141" s="363"/>
      <c r="C141" s="364"/>
      <c r="D141" s="364"/>
      <c r="E141" s="364"/>
      <c r="F141" s="364"/>
      <c r="G141" s="364"/>
      <c r="H141" s="382"/>
      <c r="I141" s="364"/>
      <c r="J141" s="382"/>
      <c r="K141" s="364"/>
      <c r="L141" s="364"/>
      <c r="M141" s="364"/>
      <c r="N141" s="382"/>
      <c r="O141" s="364"/>
      <c r="P141" s="364"/>
      <c r="Q141" s="364"/>
      <c r="R141" s="382"/>
      <c r="S141" s="364"/>
      <c r="T141" s="382"/>
      <c r="U141" s="364"/>
      <c r="V141" s="382"/>
      <c r="W141" s="364"/>
      <c r="X141" s="382"/>
      <c r="Y141" s="364"/>
      <c r="Z141" s="382"/>
      <c r="AA141" s="364"/>
      <c r="AB141" s="364"/>
      <c r="AC141" s="364"/>
      <c r="AD141" s="382"/>
      <c r="AE141" s="364"/>
      <c r="AF141" s="382"/>
      <c r="AG141" s="364"/>
      <c r="AH141" s="382"/>
      <c r="AI141" s="364"/>
      <c r="AJ141" s="382"/>
      <c r="AK141" s="364"/>
      <c r="AL141" s="382"/>
      <c r="AM141" s="352"/>
    </row>
    <row r="142" spans="1:39" s="351" customFormat="1">
      <c r="A142" s="363"/>
      <c r="B142" s="363"/>
      <c r="C142" s="364"/>
      <c r="D142" s="364"/>
      <c r="E142" s="364"/>
      <c r="F142" s="364"/>
      <c r="G142" s="364"/>
      <c r="H142" s="382"/>
      <c r="I142" s="364"/>
      <c r="J142" s="382"/>
      <c r="K142" s="364"/>
      <c r="L142" s="364"/>
      <c r="M142" s="364"/>
      <c r="N142" s="382"/>
      <c r="O142" s="364"/>
      <c r="P142" s="364"/>
      <c r="Q142" s="364"/>
      <c r="R142" s="382"/>
      <c r="S142" s="364"/>
      <c r="T142" s="382"/>
      <c r="U142" s="364"/>
      <c r="V142" s="382"/>
      <c r="W142" s="364"/>
      <c r="X142" s="382"/>
      <c r="Y142" s="364"/>
      <c r="Z142" s="382"/>
      <c r="AA142" s="364"/>
      <c r="AB142" s="364"/>
      <c r="AC142" s="364"/>
      <c r="AD142" s="382"/>
      <c r="AE142" s="364"/>
      <c r="AF142" s="382"/>
      <c r="AG142" s="364"/>
      <c r="AH142" s="382"/>
      <c r="AI142" s="364"/>
      <c r="AJ142" s="382"/>
      <c r="AK142" s="364"/>
      <c r="AL142" s="382"/>
      <c r="AM142" s="352"/>
    </row>
    <row r="143" spans="1:39" s="351" customFormat="1">
      <c r="A143" s="363"/>
      <c r="B143" s="363"/>
      <c r="C143" s="364"/>
      <c r="D143" s="364"/>
      <c r="E143" s="364"/>
      <c r="F143" s="364"/>
      <c r="G143" s="364"/>
      <c r="H143" s="382"/>
      <c r="I143" s="364"/>
      <c r="J143" s="382"/>
      <c r="K143" s="364"/>
      <c r="L143" s="364"/>
      <c r="M143" s="364"/>
      <c r="N143" s="382"/>
      <c r="O143" s="364"/>
      <c r="P143" s="364"/>
      <c r="Q143" s="364"/>
      <c r="R143" s="382"/>
      <c r="S143" s="364"/>
      <c r="T143" s="382"/>
      <c r="U143" s="364"/>
      <c r="V143" s="382"/>
      <c r="W143" s="364"/>
      <c r="X143" s="382"/>
      <c r="Y143" s="364"/>
      <c r="Z143" s="382"/>
      <c r="AA143" s="364"/>
      <c r="AB143" s="364"/>
      <c r="AC143" s="364"/>
      <c r="AD143" s="382"/>
      <c r="AE143" s="364"/>
      <c r="AF143" s="382"/>
      <c r="AG143" s="364"/>
      <c r="AH143" s="382"/>
      <c r="AI143" s="364"/>
      <c r="AJ143" s="382"/>
      <c r="AK143" s="364"/>
      <c r="AL143" s="382"/>
      <c r="AM143" s="352"/>
    </row>
    <row r="144" spans="1:39" s="351" customFormat="1">
      <c r="A144" s="363"/>
      <c r="B144" s="363"/>
      <c r="C144" s="364"/>
      <c r="D144" s="364"/>
      <c r="E144" s="364"/>
      <c r="F144" s="364"/>
      <c r="G144" s="364"/>
      <c r="H144" s="382"/>
      <c r="I144" s="364"/>
      <c r="J144" s="382"/>
      <c r="K144" s="364"/>
      <c r="L144" s="364"/>
      <c r="M144" s="364"/>
      <c r="N144" s="382"/>
      <c r="O144" s="364"/>
      <c r="P144" s="364"/>
      <c r="Q144" s="364"/>
      <c r="R144" s="382"/>
      <c r="S144" s="364"/>
      <c r="T144" s="382"/>
      <c r="U144" s="364"/>
      <c r="V144" s="382"/>
      <c r="W144" s="364"/>
      <c r="X144" s="382"/>
      <c r="Y144" s="364"/>
      <c r="Z144" s="382"/>
      <c r="AA144" s="364"/>
      <c r="AB144" s="364"/>
      <c r="AC144" s="364"/>
      <c r="AD144" s="382"/>
      <c r="AE144" s="364"/>
      <c r="AF144" s="382"/>
      <c r="AG144" s="364"/>
      <c r="AH144" s="382"/>
      <c r="AI144" s="364"/>
      <c r="AJ144" s="382"/>
      <c r="AK144" s="364"/>
      <c r="AL144" s="382"/>
      <c r="AM144" s="352"/>
    </row>
    <row r="145" spans="1:39" s="351" customFormat="1">
      <c r="A145" s="363"/>
      <c r="B145" s="363"/>
      <c r="C145" s="364"/>
      <c r="D145" s="364"/>
      <c r="E145" s="364"/>
      <c r="F145" s="364"/>
      <c r="G145" s="364"/>
      <c r="H145" s="382"/>
      <c r="I145" s="364"/>
      <c r="J145" s="382"/>
      <c r="K145" s="364"/>
      <c r="L145" s="364"/>
      <c r="M145" s="364"/>
      <c r="N145" s="382"/>
      <c r="O145" s="364"/>
      <c r="P145" s="364"/>
      <c r="Q145" s="364"/>
      <c r="R145" s="382"/>
      <c r="S145" s="364"/>
      <c r="T145" s="382"/>
      <c r="U145" s="364"/>
      <c r="V145" s="382"/>
      <c r="W145" s="364"/>
      <c r="X145" s="382"/>
      <c r="Y145" s="364"/>
      <c r="Z145" s="382"/>
      <c r="AA145" s="364"/>
      <c r="AB145" s="364"/>
      <c r="AC145" s="364"/>
      <c r="AD145" s="382"/>
      <c r="AE145" s="364"/>
      <c r="AF145" s="382"/>
      <c r="AG145" s="364"/>
      <c r="AH145" s="382"/>
      <c r="AI145" s="364"/>
      <c r="AJ145" s="382"/>
      <c r="AK145" s="364"/>
      <c r="AL145" s="382"/>
      <c r="AM145" s="352"/>
    </row>
    <row r="146" spans="1:39" s="351" customFormat="1">
      <c r="A146" s="363"/>
      <c r="B146" s="363"/>
      <c r="C146" s="364"/>
      <c r="D146" s="364"/>
      <c r="E146" s="364"/>
      <c r="F146" s="364"/>
      <c r="G146" s="364"/>
      <c r="H146" s="382"/>
      <c r="I146" s="364"/>
      <c r="J146" s="382"/>
      <c r="K146" s="364"/>
      <c r="L146" s="364"/>
      <c r="M146" s="364"/>
      <c r="N146" s="382"/>
      <c r="O146" s="364"/>
      <c r="P146" s="364"/>
      <c r="Q146" s="364"/>
      <c r="R146" s="382"/>
      <c r="S146" s="364"/>
      <c r="T146" s="382"/>
      <c r="U146" s="364"/>
      <c r="V146" s="382"/>
      <c r="W146" s="364"/>
      <c r="X146" s="382"/>
      <c r="Y146" s="364"/>
      <c r="Z146" s="382"/>
      <c r="AA146" s="364"/>
      <c r="AB146" s="364"/>
      <c r="AC146" s="364"/>
      <c r="AD146" s="382"/>
      <c r="AE146" s="364"/>
      <c r="AF146" s="382"/>
      <c r="AG146" s="364"/>
      <c r="AH146" s="382"/>
      <c r="AI146" s="364"/>
      <c r="AJ146" s="382"/>
      <c r="AK146" s="364"/>
      <c r="AL146" s="382"/>
      <c r="AM146" s="352"/>
    </row>
    <row r="147" spans="1:39" s="351" customFormat="1">
      <c r="A147" s="363"/>
      <c r="B147" s="363"/>
      <c r="C147" s="364"/>
      <c r="D147" s="364"/>
      <c r="E147" s="364"/>
      <c r="F147" s="364"/>
      <c r="G147" s="364"/>
      <c r="H147" s="382"/>
      <c r="I147" s="364"/>
      <c r="J147" s="382"/>
      <c r="K147" s="364"/>
      <c r="L147" s="364"/>
      <c r="M147" s="364"/>
      <c r="N147" s="382"/>
      <c r="O147" s="364"/>
      <c r="P147" s="364"/>
      <c r="Q147" s="364"/>
      <c r="R147" s="382"/>
      <c r="S147" s="364"/>
      <c r="T147" s="382"/>
      <c r="U147" s="364"/>
      <c r="V147" s="382"/>
      <c r="W147" s="364"/>
      <c r="X147" s="382"/>
      <c r="Y147" s="364"/>
      <c r="Z147" s="382"/>
      <c r="AA147" s="364"/>
      <c r="AB147" s="364"/>
      <c r="AC147" s="364"/>
      <c r="AD147" s="382"/>
      <c r="AE147" s="364"/>
      <c r="AF147" s="382"/>
      <c r="AG147" s="364"/>
      <c r="AH147" s="382"/>
      <c r="AI147" s="364"/>
      <c r="AJ147" s="382"/>
      <c r="AK147" s="364"/>
      <c r="AL147" s="382"/>
      <c r="AM147" s="352"/>
    </row>
    <row r="148" spans="1:39" s="351" customFormat="1">
      <c r="A148" s="363"/>
      <c r="B148" s="363"/>
      <c r="C148" s="364"/>
      <c r="D148" s="364"/>
      <c r="E148" s="364"/>
      <c r="F148" s="364"/>
      <c r="G148" s="364"/>
      <c r="H148" s="382"/>
      <c r="I148" s="364"/>
      <c r="J148" s="382"/>
      <c r="K148" s="364"/>
      <c r="L148" s="364"/>
      <c r="M148" s="364"/>
      <c r="N148" s="382"/>
      <c r="O148" s="364"/>
      <c r="P148" s="364"/>
      <c r="Q148" s="364"/>
      <c r="R148" s="382"/>
      <c r="S148" s="364"/>
      <c r="T148" s="382"/>
      <c r="U148" s="364"/>
      <c r="V148" s="382"/>
      <c r="W148" s="364"/>
      <c r="X148" s="382"/>
      <c r="Y148" s="364"/>
      <c r="Z148" s="382"/>
      <c r="AA148" s="364"/>
      <c r="AB148" s="364"/>
      <c r="AC148" s="364"/>
      <c r="AD148" s="382"/>
      <c r="AE148" s="364"/>
      <c r="AF148" s="382"/>
      <c r="AG148" s="364"/>
      <c r="AH148" s="382"/>
      <c r="AI148" s="364"/>
      <c r="AJ148" s="382"/>
      <c r="AK148" s="364"/>
      <c r="AL148" s="382"/>
      <c r="AM148" s="352"/>
    </row>
    <row r="149" spans="1:39" s="351" customFormat="1">
      <c r="A149" s="363"/>
      <c r="B149" s="363"/>
      <c r="C149" s="364"/>
      <c r="D149" s="364"/>
      <c r="E149" s="364"/>
      <c r="F149" s="364"/>
      <c r="G149" s="364"/>
      <c r="H149" s="382"/>
      <c r="I149" s="364"/>
      <c r="J149" s="382"/>
      <c r="K149" s="364"/>
      <c r="L149" s="364"/>
      <c r="M149" s="364"/>
      <c r="N149" s="382"/>
      <c r="O149" s="364"/>
      <c r="P149" s="364"/>
      <c r="Q149" s="364"/>
      <c r="R149" s="382"/>
      <c r="S149" s="364"/>
      <c r="T149" s="382"/>
      <c r="U149" s="364"/>
      <c r="V149" s="382"/>
      <c r="W149" s="364"/>
      <c r="X149" s="382"/>
      <c r="Y149" s="364"/>
      <c r="Z149" s="382"/>
      <c r="AA149" s="364"/>
      <c r="AB149" s="364"/>
      <c r="AC149" s="364"/>
      <c r="AD149" s="382"/>
      <c r="AE149" s="364"/>
      <c r="AF149" s="382"/>
      <c r="AG149" s="364"/>
      <c r="AH149" s="382"/>
      <c r="AI149" s="364"/>
      <c r="AJ149" s="382"/>
      <c r="AK149" s="364"/>
      <c r="AL149" s="382"/>
      <c r="AM149" s="352"/>
    </row>
    <row r="150" spans="1:39" s="351" customFormat="1">
      <c r="A150" s="363"/>
      <c r="B150" s="363"/>
      <c r="C150" s="364"/>
      <c r="D150" s="364"/>
      <c r="E150" s="364"/>
      <c r="F150" s="364"/>
      <c r="G150" s="364"/>
      <c r="H150" s="382"/>
      <c r="I150" s="364"/>
      <c r="J150" s="382"/>
      <c r="K150" s="364"/>
      <c r="L150" s="364"/>
      <c r="M150" s="364"/>
      <c r="N150" s="382"/>
      <c r="O150" s="364"/>
      <c r="P150" s="364"/>
      <c r="Q150" s="364"/>
      <c r="R150" s="382"/>
      <c r="S150" s="364"/>
      <c r="T150" s="382"/>
      <c r="U150" s="364"/>
      <c r="V150" s="382"/>
      <c r="W150" s="364"/>
      <c r="X150" s="382"/>
      <c r="Y150" s="364"/>
      <c r="Z150" s="382"/>
      <c r="AA150" s="364"/>
      <c r="AB150" s="364"/>
      <c r="AC150" s="364"/>
      <c r="AD150" s="382"/>
      <c r="AE150" s="364"/>
      <c r="AF150" s="382"/>
      <c r="AG150" s="364"/>
      <c r="AH150" s="382"/>
      <c r="AI150" s="364"/>
      <c r="AJ150" s="382"/>
      <c r="AK150" s="364"/>
      <c r="AL150" s="382"/>
      <c r="AM150" s="352"/>
    </row>
    <row r="151" spans="1:39" s="351" customFormat="1">
      <c r="A151" s="363"/>
      <c r="B151" s="363"/>
      <c r="C151" s="364"/>
      <c r="D151" s="364"/>
      <c r="E151" s="364"/>
      <c r="F151" s="364"/>
      <c r="G151" s="364"/>
      <c r="H151" s="382"/>
      <c r="I151" s="364"/>
      <c r="J151" s="382"/>
      <c r="K151" s="364"/>
      <c r="L151" s="364"/>
      <c r="M151" s="364"/>
      <c r="N151" s="382"/>
      <c r="O151" s="364"/>
      <c r="P151" s="364"/>
      <c r="Q151" s="364"/>
      <c r="R151" s="382"/>
      <c r="S151" s="364"/>
      <c r="T151" s="382"/>
      <c r="U151" s="364"/>
      <c r="V151" s="382"/>
      <c r="W151" s="364"/>
      <c r="X151" s="382"/>
      <c r="Y151" s="364"/>
      <c r="Z151" s="382"/>
      <c r="AA151" s="364"/>
      <c r="AB151" s="364"/>
      <c r="AC151" s="364"/>
      <c r="AD151" s="382"/>
      <c r="AE151" s="364"/>
      <c r="AF151" s="382"/>
      <c r="AG151" s="364"/>
      <c r="AH151" s="382"/>
      <c r="AI151" s="364"/>
      <c r="AJ151" s="382"/>
      <c r="AK151" s="364"/>
      <c r="AL151" s="382"/>
      <c r="AM151" s="352"/>
    </row>
    <row r="152" spans="1:39" s="351" customFormat="1">
      <c r="A152" s="363"/>
      <c r="B152" s="363"/>
      <c r="C152" s="364"/>
      <c r="D152" s="364"/>
      <c r="E152" s="364"/>
      <c r="F152" s="364"/>
      <c r="G152" s="364"/>
      <c r="H152" s="382"/>
      <c r="I152" s="364"/>
      <c r="J152" s="382"/>
      <c r="K152" s="364"/>
      <c r="L152" s="364"/>
      <c r="M152" s="364"/>
      <c r="N152" s="382"/>
      <c r="O152" s="364"/>
      <c r="P152" s="364"/>
      <c r="Q152" s="364"/>
      <c r="R152" s="382"/>
      <c r="S152" s="364"/>
      <c r="T152" s="382"/>
      <c r="U152" s="364"/>
      <c r="V152" s="382"/>
      <c r="W152" s="364"/>
      <c r="X152" s="382"/>
      <c r="Y152" s="364"/>
      <c r="Z152" s="382"/>
      <c r="AA152" s="364"/>
      <c r="AB152" s="364"/>
      <c r="AC152" s="364"/>
      <c r="AD152" s="382"/>
      <c r="AE152" s="364"/>
      <c r="AF152" s="382"/>
      <c r="AG152" s="364"/>
      <c r="AH152" s="382"/>
      <c r="AI152" s="364"/>
      <c r="AJ152" s="382"/>
      <c r="AK152" s="364"/>
      <c r="AL152" s="382"/>
      <c r="AM152" s="352"/>
    </row>
    <row r="153" spans="1:39" s="351" customFormat="1">
      <c r="A153" s="363"/>
      <c r="B153" s="363"/>
      <c r="C153" s="364"/>
      <c r="D153" s="364"/>
      <c r="E153" s="364"/>
      <c r="F153" s="364"/>
      <c r="G153" s="364"/>
      <c r="H153" s="382"/>
      <c r="I153" s="364"/>
      <c r="J153" s="382"/>
      <c r="K153" s="364"/>
      <c r="L153" s="364"/>
      <c r="M153" s="364"/>
      <c r="N153" s="382"/>
      <c r="O153" s="364"/>
      <c r="P153" s="364"/>
      <c r="Q153" s="364"/>
      <c r="R153" s="382"/>
      <c r="S153" s="364"/>
      <c r="T153" s="382"/>
      <c r="U153" s="364"/>
      <c r="V153" s="382"/>
      <c r="W153" s="364"/>
      <c r="X153" s="382"/>
      <c r="Y153" s="364"/>
      <c r="Z153" s="382"/>
      <c r="AA153" s="364"/>
      <c r="AB153" s="364"/>
      <c r="AC153" s="364"/>
      <c r="AD153" s="382"/>
      <c r="AE153" s="364"/>
      <c r="AF153" s="382"/>
      <c r="AG153" s="364"/>
      <c r="AH153" s="382"/>
      <c r="AI153" s="364"/>
      <c r="AJ153" s="382"/>
      <c r="AK153" s="364"/>
      <c r="AL153" s="382"/>
      <c r="AM153" s="352"/>
    </row>
    <row r="154" spans="1:39" s="351" customFormat="1">
      <c r="A154" s="363"/>
      <c r="B154" s="363"/>
      <c r="C154" s="364"/>
      <c r="D154" s="364"/>
      <c r="E154" s="364"/>
      <c r="F154" s="364"/>
      <c r="G154" s="364"/>
      <c r="H154" s="382"/>
      <c r="I154" s="364"/>
      <c r="J154" s="382"/>
      <c r="K154" s="364"/>
      <c r="L154" s="364"/>
      <c r="M154" s="364"/>
      <c r="N154" s="382"/>
      <c r="O154" s="364"/>
      <c r="P154" s="364"/>
      <c r="Q154" s="364"/>
      <c r="R154" s="382"/>
      <c r="S154" s="364"/>
      <c r="T154" s="382"/>
      <c r="U154" s="364"/>
      <c r="V154" s="382"/>
      <c r="W154" s="364"/>
      <c r="X154" s="382"/>
      <c r="Y154" s="364"/>
      <c r="Z154" s="382"/>
      <c r="AA154" s="364"/>
      <c r="AB154" s="364"/>
      <c r="AC154" s="364"/>
      <c r="AD154" s="382"/>
      <c r="AE154" s="364"/>
      <c r="AF154" s="382"/>
      <c r="AG154" s="364"/>
      <c r="AH154" s="382"/>
      <c r="AI154" s="364"/>
      <c r="AJ154" s="382"/>
      <c r="AK154" s="364"/>
      <c r="AL154" s="382"/>
      <c r="AM154" s="352"/>
    </row>
    <row r="155" spans="1:39" s="351" customFormat="1">
      <c r="A155" s="363"/>
      <c r="B155" s="363"/>
      <c r="C155" s="364"/>
      <c r="D155" s="364"/>
      <c r="E155" s="364"/>
      <c r="F155" s="364"/>
      <c r="G155" s="364"/>
      <c r="H155" s="382"/>
      <c r="I155" s="364"/>
      <c r="J155" s="382"/>
      <c r="K155" s="364"/>
      <c r="L155" s="364"/>
      <c r="M155" s="364"/>
      <c r="N155" s="382"/>
      <c r="O155" s="364"/>
      <c r="P155" s="364"/>
      <c r="Q155" s="364"/>
      <c r="R155" s="382"/>
      <c r="S155" s="364"/>
      <c r="T155" s="382"/>
      <c r="U155" s="364"/>
      <c r="V155" s="382"/>
      <c r="W155" s="364"/>
      <c r="X155" s="382"/>
      <c r="Y155" s="364"/>
      <c r="Z155" s="382"/>
      <c r="AA155" s="364"/>
      <c r="AB155" s="364"/>
      <c r="AC155" s="364"/>
      <c r="AD155" s="382"/>
      <c r="AE155" s="364"/>
      <c r="AF155" s="382"/>
      <c r="AG155" s="364"/>
      <c r="AH155" s="382"/>
      <c r="AI155" s="364"/>
      <c r="AJ155" s="382"/>
      <c r="AK155" s="364"/>
      <c r="AL155" s="382"/>
      <c r="AM155" s="352"/>
    </row>
    <row r="156" spans="1:39" s="351" customFormat="1">
      <c r="A156" s="363"/>
      <c r="B156" s="363"/>
      <c r="C156" s="364"/>
      <c r="D156" s="364"/>
      <c r="E156" s="364"/>
      <c r="F156" s="364"/>
      <c r="G156" s="364"/>
      <c r="H156" s="382"/>
      <c r="I156" s="364"/>
      <c r="J156" s="382"/>
      <c r="K156" s="364"/>
      <c r="L156" s="364"/>
      <c r="M156" s="364"/>
      <c r="N156" s="382"/>
      <c r="O156" s="364"/>
      <c r="P156" s="364"/>
      <c r="Q156" s="364"/>
      <c r="R156" s="382"/>
      <c r="S156" s="364"/>
      <c r="T156" s="382"/>
      <c r="U156" s="364"/>
      <c r="V156" s="382"/>
      <c r="W156" s="364"/>
      <c r="X156" s="382"/>
      <c r="Y156" s="364"/>
      <c r="Z156" s="382"/>
      <c r="AA156" s="364"/>
      <c r="AB156" s="364"/>
      <c r="AC156" s="364"/>
      <c r="AD156" s="382"/>
      <c r="AE156" s="364"/>
      <c r="AF156" s="382"/>
      <c r="AG156" s="364"/>
      <c r="AH156" s="382"/>
      <c r="AI156" s="364"/>
      <c r="AJ156" s="382"/>
      <c r="AK156" s="364"/>
      <c r="AL156" s="382"/>
      <c r="AM156" s="352"/>
    </row>
    <row r="157" spans="1:39" s="351" customFormat="1">
      <c r="A157" s="363"/>
      <c r="B157" s="363"/>
      <c r="C157" s="364"/>
      <c r="D157" s="364"/>
      <c r="E157" s="364"/>
      <c r="F157" s="364"/>
      <c r="G157" s="364"/>
      <c r="H157" s="382"/>
      <c r="I157" s="364"/>
      <c r="J157" s="382"/>
      <c r="K157" s="364"/>
      <c r="L157" s="364"/>
      <c r="M157" s="364"/>
      <c r="N157" s="382"/>
      <c r="O157" s="364"/>
      <c r="P157" s="364"/>
      <c r="Q157" s="364"/>
      <c r="R157" s="382"/>
      <c r="S157" s="364"/>
      <c r="T157" s="382"/>
      <c r="U157" s="364"/>
      <c r="V157" s="382"/>
      <c r="W157" s="364"/>
      <c r="X157" s="382"/>
      <c r="Y157" s="364"/>
      <c r="Z157" s="382"/>
      <c r="AA157" s="364"/>
      <c r="AB157" s="364"/>
      <c r="AC157" s="364"/>
      <c r="AD157" s="382"/>
      <c r="AE157" s="364"/>
      <c r="AF157" s="382"/>
      <c r="AG157" s="364"/>
      <c r="AH157" s="382"/>
      <c r="AI157" s="364"/>
      <c r="AJ157" s="382"/>
      <c r="AK157" s="364"/>
      <c r="AL157" s="382"/>
      <c r="AM157" s="352"/>
    </row>
    <row r="158" spans="1:39" s="351" customFormat="1">
      <c r="A158" s="363"/>
      <c r="B158" s="363"/>
      <c r="C158" s="364"/>
      <c r="D158" s="364"/>
      <c r="E158" s="364"/>
      <c r="F158" s="364"/>
      <c r="G158" s="364"/>
      <c r="H158" s="382"/>
      <c r="I158" s="364"/>
      <c r="J158" s="382"/>
      <c r="K158" s="364"/>
      <c r="L158" s="364"/>
      <c r="M158" s="364"/>
      <c r="N158" s="382"/>
      <c r="O158" s="364"/>
      <c r="P158" s="364"/>
      <c r="Q158" s="364"/>
      <c r="R158" s="382"/>
      <c r="S158" s="364"/>
      <c r="T158" s="382"/>
      <c r="U158" s="364"/>
      <c r="V158" s="382"/>
      <c r="W158" s="364"/>
      <c r="X158" s="382"/>
      <c r="Y158" s="364"/>
      <c r="Z158" s="382"/>
      <c r="AA158" s="364"/>
      <c r="AB158" s="364"/>
      <c r="AC158" s="364"/>
      <c r="AD158" s="382"/>
      <c r="AE158" s="364"/>
      <c r="AF158" s="382"/>
      <c r="AG158" s="364"/>
      <c r="AH158" s="382"/>
      <c r="AI158" s="364"/>
      <c r="AJ158" s="382"/>
      <c r="AK158" s="364"/>
      <c r="AL158" s="382"/>
      <c r="AM158" s="352"/>
    </row>
    <row r="159" spans="1:39" s="351" customFormat="1">
      <c r="A159" s="363"/>
      <c r="B159" s="363"/>
      <c r="C159" s="364"/>
      <c r="D159" s="364"/>
      <c r="E159" s="364"/>
      <c r="F159" s="364"/>
      <c r="G159" s="364"/>
      <c r="H159" s="382"/>
      <c r="I159" s="364"/>
      <c r="J159" s="382"/>
      <c r="K159" s="364"/>
      <c r="L159" s="364"/>
      <c r="M159" s="364"/>
      <c r="N159" s="382"/>
      <c r="O159" s="364"/>
      <c r="P159" s="364"/>
      <c r="Q159" s="364"/>
      <c r="R159" s="382"/>
      <c r="S159" s="364"/>
      <c r="T159" s="382"/>
      <c r="U159" s="364"/>
      <c r="V159" s="382"/>
      <c r="W159" s="364"/>
      <c r="X159" s="382"/>
      <c r="Y159" s="364"/>
      <c r="Z159" s="382"/>
      <c r="AA159" s="364"/>
      <c r="AB159" s="364"/>
      <c r="AC159" s="364"/>
      <c r="AD159" s="382"/>
      <c r="AE159" s="364"/>
      <c r="AF159" s="382"/>
      <c r="AG159" s="364"/>
      <c r="AH159" s="382"/>
      <c r="AI159" s="364"/>
      <c r="AJ159" s="382"/>
      <c r="AK159" s="364"/>
      <c r="AL159" s="382"/>
      <c r="AM159" s="352"/>
    </row>
    <row r="160" spans="1:39" s="351" customFormat="1">
      <c r="A160" s="363"/>
      <c r="B160" s="363"/>
      <c r="C160" s="364"/>
      <c r="D160" s="364"/>
      <c r="E160" s="364"/>
      <c r="F160" s="364"/>
      <c r="G160" s="364"/>
      <c r="H160" s="382"/>
      <c r="I160" s="364"/>
      <c r="J160" s="382"/>
      <c r="K160" s="364"/>
      <c r="L160" s="364"/>
      <c r="M160" s="364"/>
      <c r="N160" s="382"/>
      <c r="O160" s="364"/>
      <c r="P160" s="364"/>
      <c r="Q160" s="364"/>
      <c r="R160" s="382"/>
      <c r="S160" s="364"/>
      <c r="T160" s="382"/>
      <c r="U160" s="364"/>
      <c r="V160" s="382"/>
      <c r="W160" s="364"/>
      <c r="X160" s="382"/>
      <c r="Y160" s="364"/>
      <c r="Z160" s="382"/>
      <c r="AA160" s="364"/>
      <c r="AB160" s="364"/>
      <c r="AC160" s="364"/>
      <c r="AD160" s="382"/>
      <c r="AE160" s="364"/>
      <c r="AF160" s="382"/>
      <c r="AG160" s="364"/>
      <c r="AH160" s="382"/>
      <c r="AI160" s="364"/>
      <c r="AJ160" s="382"/>
      <c r="AK160" s="364"/>
      <c r="AL160" s="382"/>
      <c r="AM160" s="352"/>
    </row>
    <row r="161" spans="1:39" s="351" customFormat="1">
      <c r="A161" s="363"/>
      <c r="B161" s="363"/>
      <c r="C161" s="364"/>
      <c r="D161" s="364"/>
      <c r="E161" s="364"/>
      <c r="F161" s="364"/>
      <c r="G161" s="364"/>
      <c r="H161" s="382"/>
      <c r="I161" s="364"/>
      <c r="J161" s="382"/>
      <c r="K161" s="364"/>
      <c r="L161" s="364"/>
      <c r="M161" s="364"/>
      <c r="N161" s="382"/>
      <c r="O161" s="364"/>
      <c r="P161" s="364"/>
      <c r="Q161" s="364"/>
      <c r="R161" s="382"/>
      <c r="S161" s="364"/>
      <c r="T161" s="382"/>
      <c r="U161" s="364"/>
      <c r="V161" s="382"/>
      <c r="W161" s="364"/>
      <c r="X161" s="382"/>
      <c r="Y161" s="364"/>
      <c r="Z161" s="382"/>
      <c r="AA161" s="364"/>
      <c r="AB161" s="364"/>
      <c r="AC161" s="364"/>
      <c r="AD161" s="382"/>
      <c r="AE161" s="364"/>
      <c r="AF161" s="382"/>
      <c r="AG161" s="364"/>
      <c r="AH161" s="382"/>
      <c r="AI161" s="364"/>
      <c r="AJ161" s="382"/>
      <c r="AK161" s="364"/>
      <c r="AL161" s="382"/>
      <c r="AM161" s="352"/>
    </row>
    <row r="162" spans="1:39" s="351" customFormat="1">
      <c r="A162" s="363"/>
      <c r="B162" s="363"/>
      <c r="C162" s="364"/>
      <c r="D162" s="364"/>
      <c r="E162" s="364"/>
      <c r="F162" s="364"/>
      <c r="G162" s="364"/>
      <c r="H162" s="382"/>
      <c r="I162" s="364"/>
      <c r="J162" s="382"/>
      <c r="K162" s="364"/>
      <c r="L162" s="364"/>
      <c r="M162" s="364"/>
      <c r="N162" s="382"/>
      <c r="O162" s="364"/>
      <c r="P162" s="364"/>
      <c r="Q162" s="364"/>
      <c r="R162" s="382"/>
      <c r="S162" s="364"/>
      <c r="T162" s="382"/>
      <c r="U162" s="364"/>
      <c r="V162" s="382"/>
      <c r="W162" s="364"/>
      <c r="X162" s="382"/>
      <c r="Y162" s="364"/>
      <c r="Z162" s="382"/>
      <c r="AA162" s="364"/>
      <c r="AB162" s="364"/>
      <c r="AC162" s="364"/>
      <c r="AD162" s="382"/>
      <c r="AE162" s="364"/>
      <c r="AF162" s="382"/>
      <c r="AG162" s="364"/>
      <c r="AH162" s="382"/>
      <c r="AI162" s="364"/>
      <c r="AJ162" s="382"/>
      <c r="AK162" s="364"/>
      <c r="AL162" s="382"/>
      <c r="AM162" s="352"/>
    </row>
    <row r="163" spans="1:39" s="351" customFormat="1">
      <c r="A163" s="363"/>
      <c r="B163" s="363"/>
      <c r="C163" s="364"/>
      <c r="D163" s="364"/>
      <c r="E163" s="364"/>
      <c r="F163" s="364"/>
      <c r="G163" s="364"/>
      <c r="H163" s="382"/>
      <c r="I163" s="364"/>
      <c r="J163" s="382"/>
      <c r="K163" s="364"/>
      <c r="L163" s="364"/>
      <c r="M163" s="364"/>
      <c r="N163" s="382"/>
      <c r="O163" s="364"/>
      <c r="P163" s="364"/>
      <c r="Q163" s="364"/>
      <c r="R163" s="382"/>
      <c r="S163" s="364"/>
      <c r="T163" s="382"/>
      <c r="U163" s="364"/>
      <c r="V163" s="382"/>
      <c r="W163" s="364"/>
      <c r="X163" s="382"/>
      <c r="Y163" s="364"/>
      <c r="Z163" s="382"/>
      <c r="AA163" s="364"/>
      <c r="AB163" s="364"/>
      <c r="AC163" s="364"/>
      <c r="AD163" s="382"/>
      <c r="AE163" s="364"/>
      <c r="AF163" s="382"/>
      <c r="AG163" s="364"/>
      <c r="AH163" s="382"/>
      <c r="AI163" s="364"/>
      <c r="AJ163" s="382"/>
      <c r="AK163" s="364"/>
      <c r="AL163" s="382"/>
      <c r="AM163" s="352"/>
    </row>
    <row r="164" spans="1:39" s="351" customFormat="1">
      <c r="A164" s="363"/>
      <c r="B164" s="363"/>
      <c r="C164" s="364"/>
      <c r="D164" s="364"/>
      <c r="E164" s="364"/>
      <c r="F164" s="364"/>
      <c r="G164" s="364"/>
      <c r="H164" s="382"/>
      <c r="I164" s="364"/>
      <c r="J164" s="382"/>
      <c r="K164" s="364"/>
      <c r="L164" s="364"/>
      <c r="M164" s="364"/>
      <c r="N164" s="382"/>
      <c r="O164" s="364"/>
      <c r="P164" s="364"/>
      <c r="Q164" s="364"/>
      <c r="R164" s="382"/>
      <c r="S164" s="364"/>
      <c r="T164" s="382"/>
      <c r="U164" s="364"/>
      <c r="V164" s="382"/>
      <c r="W164" s="364"/>
      <c r="X164" s="382"/>
      <c r="Y164" s="364"/>
      <c r="Z164" s="382"/>
      <c r="AA164" s="364"/>
      <c r="AB164" s="364"/>
      <c r="AC164" s="364"/>
      <c r="AD164" s="382"/>
      <c r="AE164" s="364"/>
      <c r="AF164" s="382"/>
      <c r="AG164" s="364"/>
      <c r="AH164" s="382"/>
      <c r="AI164" s="364"/>
      <c r="AJ164" s="382"/>
      <c r="AK164" s="364"/>
      <c r="AL164" s="382"/>
      <c r="AM164" s="352"/>
    </row>
    <row r="165" spans="1:39" s="351" customFormat="1">
      <c r="A165" s="363"/>
      <c r="B165" s="363"/>
      <c r="C165" s="364"/>
      <c r="D165" s="364"/>
      <c r="E165" s="364"/>
      <c r="F165" s="364"/>
      <c r="G165" s="364"/>
      <c r="H165" s="382"/>
      <c r="I165" s="364"/>
      <c r="J165" s="382"/>
      <c r="K165" s="364"/>
      <c r="L165" s="364"/>
      <c r="M165" s="364"/>
      <c r="N165" s="382"/>
      <c r="O165" s="364"/>
      <c r="P165" s="364"/>
      <c r="Q165" s="364"/>
      <c r="R165" s="382"/>
      <c r="S165" s="364"/>
      <c r="T165" s="382"/>
      <c r="U165" s="364"/>
      <c r="V165" s="382"/>
      <c r="W165" s="364"/>
      <c r="X165" s="382"/>
      <c r="Y165" s="364"/>
      <c r="Z165" s="382"/>
      <c r="AA165" s="364"/>
      <c r="AB165" s="364"/>
      <c r="AC165" s="364"/>
      <c r="AD165" s="382"/>
      <c r="AE165" s="364"/>
      <c r="AF165" s="382"/>
      <c r="AG165" s="364"/>
      <c r="AH165" s="382"/>
      <c r="AI165" s="364"/>
      <c r="AJ165" s="382"/>
      <c r="AK165" s="364"/>
      <c r="AL165" s="382"/>
      <c r="AM165" s="352"/>
    </row>
    <row r="166" spans="1:39" s="351" customFormat="1">
      <c r="A166" s="363"/>
      <c r="B166" s="363"/>
      <c r="C166" s="364"/>
      <c r="D166" s="364"/>
      <c r="E166" s="364"/>
      <c r="F166" s="364"/>
      <c r="G166" s="364"/>
      <c r="H166" s="382"/>
      <c r="I166" s="364"/>
      <c r="J166" s="382"/>
      <c r="K166" s="364"/>
      <c r="L166" s="364"/>
      <c r="M166" s="364"/>
      <c r="N166" s="382"/>
      <c r="O166" s="364"/>
      <c r="P166" s="364"/>
      <c r="Q166" s="364"/>
      <c r="R166" s="382"/>
      <c r="S166" s="364"/>
      <c r="T166" s="382"/>
      <c r="U166" s="364"/>
      <c r="V166" s="382"/>
      <c r="W166" s="364"/>
      <c r="X166" s="382"/>
      <c r="Y166" s="364"/>
      <c r="Z166" s="382"/>
      <c r="AA166" s="364"/>
      <c r="AB166" s="364"/>
      <c r="AC166" s="364"/>
      <c r="AD166" s="382"/>
      <c r="AE166" s="364"/>
      <c r="AF166" s="382"/>
      <c r="AG166" s="364"/>
      <c r="AH166" s="382"/>
      <c r="AI166" s="364"/>
      <c r="AJ166" s="382"/>
      <c r="AK166" s="364"/>
      <c r="AL166" s="382"/>
      <c r="AM166" s="352"/>
    </row>
    <row r="167" spans="1:39" s="351" customFormat="1">
      <c r="A167" s="363"/>
      <c r="B167" s="363"/>
      <c r="C167" s="364"/>
      <c r="D167" s="364"/>
      <c r="E167" s="364"/>
      <c r="F167" s="364"/>
      <c r="G167" s="364"/>
      <c r="H167" s="382"/>
      <c r="I167" s="364"/>
      <c r="J167" s="382"/>
      <c r="K167" s="364"/>
      <c r="L167" s="364"/>
      <c r="M167" s="364"/>
      <c r="N167" s="382"/>
      <c r="O167" s="364"/>
      <c r="P167" s="364"/>
      <c r="Q167" s="364"/>
      <c r="R167" s="382"/>
      <c r="S167" s="364"/>
      <c r="T167" s="382"/>
      <c r="U167" s="364"/>
      <c r="V167" s="382"/>
      <c r="W167" s="364"/>
      <c r="X167" s="382"/>
      <c r="Y167" s="364"/>
      <c r="Z167" s="382"/>
      <c r="AA167" s="364"/>
      <c r="AB167" s="364"/>
      <c r="AC167" s="364"/>
      <c r="AD167" s="382"/>
      <c r="AE167" s="364"/>
      <c r="AF167" s="382"/>
      <c r="AG167" s="364"/>
      <c r="AH167" s="382"/>
      <c r="AI167" s="364"/>
      <c r="AJ167" s="382"/>
      <c r="AK167" s="364"/>
      <c r="AL167" s="382"/>
      <c r="AM167" s="352"/>
    </row>
    <row r="168" spans="1:39" s="351" customFormat="1">
      <c r="A168" s="363"/>
      <c r="B168" s="363"/>
      <c r="C168" s="364"/>
      <c r="D168" s="364"/>
      <c r="E168" s="364"/>
      <c r="F168" s="364"/>
      <c r="G168" s="364"/>
      <c r="H168" s="382"/>
      <c r="I168" s="364"/>
      <c r="J168" s="382"/>
      <c r="K168" s="364"/>
      <c r="L168" s="364"/>
      <c r="M168" s="364"/>
      <c r="N168" s="382"/>
      <c r="O168" s="364"/>
      <c r="P168" s="364"/>
      <c r="Q168" s="364"/>
      <c r="R168" s="382"/>
      <c r="S168" s="364"/>
      <c r="T168" s="382"/>
      <c r="U168" s="364"/>
      <c r="V168" s="382"/>
      <c r="W168" s="364"/>
      <c r="X168" s="382"/>
      <c r="Y168" s="364"/>
      <c r="Z168" s="382"/>
      <c r="AA168" s="364"/>
      <c r="AB168" s="364"/>
      <c r="AC168" s="364"/>
      <c r="AD168" s="382"/>
      <c r="AE168" s="364"/>
      <c r="AF168" s="382"/>
      <c r="AG168" s="364"/>
      <c r="AH168" s="382"/>
      <c r="AI168" s="364"/>
      <c r="AJ168" s="382"/>
      <c r="AK168" s="364"/>
      <c r="AL168" s="382"/>
      <c r="AM168" s="352"/>
    </row>
    <row r="169" spans="1:39" s="351" customFormat="1">
      <c r="A169" s="363"/>
      <c r="B169" s="363"/>
      <c r="C169" s="364"/>
      <c r="D169" s="364"/>
      <c r="E169" s="364"/>
      <c r="F169" s="364"/>
      <c r="G169" s="364"/>
      <c r="H169" s="382"/>
      <c r="I169" s="364"/>
      <c r="J169" s="382"/>
      <c r="K169" s="364"/>
      <c r="L169" s="364"/>
      <c r="M169" s="364"/>
      <c r="N169" s="382"/>
      <c r="O169" s="364"/>
      <c r="P169" s="364"/>
      <c r="Q169" s="364"/>
      <c r="R169" s="382"/>
      <c r="S169" s="364"/>
      <c r="T169" s="382"/>
      <c r="U169" s="364"/>
      <c r="V169" s="382"/>
      <c r="W169" s="364"/>
      <c r="X169" s="382"/>
      <c r="Y169" s="364"/>
      <c r="Z169" s="382"/>
      <c r="AA169" s="364"/>
      <c r="AB169" s="364"/>
      <c r="AC169" s="364"/>
      <c r="AD169" s="382"/>
      <c r="AE169" s="364"/>
      <c r="AF169" s="382"/>
      <c r="AG169" s="364"/>
      <c r="AH169" s="382"/>
      <c r="AI169" s="364"/>
      <c r="AJ169" s="382"/>
      <c r="AK169" s="364"/>
      <c r="AL169" s="382"/>
      <c r="AM169" s="352"/>
    </row>
    <row r="170" spans="1:39" s="351" customFormat="1">
      <c r="A170" s="363"/>
      <c r="B170" s="363"/>
      <c r="C170" s="364"/>
      <c r="D170" s="364"/>
      <c r="E170" s="364"/>
      <c r="F170" s="364"/>
      <c r="G170" s="364"/>
      <c r="H170" s="382"/>
      <c r="I170" s="364"/>
      <c r="J170" s="382"/>
      <c r="K170" s="364"/>
      <c r="L170" s="364"/>
      <c r="M170" s="364"/>
      <c r="N170" s="382"/>
      <c r="O170" s="364"/>
      <c r="P170" s="364"/>
      <c r="Q170" s="364"/>
      <c r="R170" s="382"/>
      <c r="S170" s="364"/>
      <c r="T170" s="382"/>
      <c r="U170" s="364"/>
      <c r="V170" s="382"/>
      <c r="W170" s="364"/>
      <c r="X170" s="382"/>
      <c r="Y170" s="364"/>
      <c r="Z170" s="382"/>
      <c r="AA170" s="364"/>
      <c r="AB170" s="364"/>
      <c r="AC170" s="364"/>
      <c r="AD170" s="382"/>
      <c r="AE170" s="364"/>
      <c r="AF170" s="382"/>
      <c r="AG170" s="364"/>
      <c r="AH170" s="382"/>
      <c r="AI170" s="364"/>
      <c r="AJ170" s="382"/>
      <c r="AK170" s="364"/>
      <c r="AL170" s="382"/>
      <c r="AM170" s="352"/>
    </row>
    <row r="171" spans="1:39" s="351" customFormat="1">
      <c r="A171" s="363"/>
      <c r="B171" s="363"/>
      <c r="C171" s="364"/>
      <c r="D171" s="364"/>
      <c r="E171" s="364"/>
      <c r="F171" s="364"/>
      <c r="G171" s="364"/>
      <c r="H171" s="382"/>
      <c r="I171" s="364"/>
      <c r="J171" s="382"/>
      <c r="K171" s="364"/>
      <c r="L171" s="364"/>
      <c r="M171" s="364"/>
      <c r="N171" s="382"/>
      <c r="O171" s="364"/>
      <c r="P171" s="364"/>
      <c r="Q171" s="364"/>
      <c r="R171" s="382"/>
      <c r="S171" s="364"/>
      <c r="T171" s="382"/>
      <c r="U171" s="364"/>
      <c r="V171" s="382"/>
      <c r="W171" s="364"/>
      <c r="X171" s="382"/>
      <c r="Y171" s="364"/>
      <c r="Z171" s="382"/>
      <c r="AA171" s="364"/>
      <c r="AB171" s="364"/>
      <c r="AC171" s="364"/>
      <c r="AD171" s="382"/>
      <c r="AE171" s="364"/>
      <c r="AF171" s="382"/>
      <c r="AG171" s="364"/>
      <c r="AH171" s="382"/>
      <c r="AI171" s="364"/>
      <c r="AJ171" s="382"/>
      <c r="AK171" s="364"/>
      <c r="AL171" s="382"/>
      <c r="AM171" s="352"/>
    </row>
    <row r="172" spans="1:39" s="351" customFormat="1">
      <c r="A172" s="363"/>
      <c r="B172" s="363"/>
      <c r="C172" s="364"/>
      <c r="D172" s="364"/>
      <c r="E172" s="364"/>
      <c r="F172" s="364"/>
      <c r="G172" s="364"/>
      <c r="H172" s="382"/>
      <c r="I172" s="364"/>
      <c r="J172" s="382"/>
      <c r="K172" s="364"/>
      <c r="L172" s="364"/>
      <c r="M172" s="364"/>
      <c r="N172" s="382"/>
      <c r="O172" s="364"/>
      <c r="P172" s="364"/>
      <c r="Q172" s="364"/>
      <c r="R172" s="382"/>
      <c r="S172" s="364"/>
      <c r="T172" s="382"/>
      <c r="U172" s="364"/>
      <c r="V172" s="382"/>
      <c r="W172" s="364"/>
      <c r="X172" s="382"/>
      <c r="Y172" s="364"/>
      <c r="Z172" s="382"/>
      <c r="AA172" s="364"/>
      <c r="AB172" s="364"/>
      <c r="AC172" s="364"/>
      <c r="AD172" s="382"/>
      <c r="AE172" s="364"/>
      <c r="AF172" s="382"/>
      <c r="AG172" s="364"/>
      <c r="AH172" s="382"/>
      <c r="AI172" s="364"/>
      <c r="AJ172" s="382"/>
      <c r="AK172" s="364"/>
      <c r="AL172" s="382"/>
      <c r="AM172" s="352"/>
    </row>
    <row r="173" spans="1:39" s="351" customFormat="1">
      <c r="A173" s="363"/>
      <c r="B173" s="363"/>
      <c r="C173" s="364"/>
      <c r="D173" s="364"/>
      <c r="E173" s="364"/>
      <c r="F173" s="364"/>
      <c r="G173" s="364"/>
      <c r="H173" s="382"/>
      <c r="I173" s="364"/>
      <c r="J173" s="382"/>
      <c r="K173" s="364"/>
      <c r="L173" s="364"/>
      <c r="M173" s="364"/>
      <c r="N173" s="382"/>
      <c r="O173" s="364"/>
      <c r="P173" s="364"/>
      <c r="Q173" s="364"/>
      <c r="R173" s="382"/>
      <c r="S173" s="364"/>
      <c r="T173" s="382"/>
      <c r="U173" s="364"/>
      <c r="V173" s="382"/>
      <c r="W173" s="364"/>
      <c r="X173" s="382"/>
      <c r="Y173" s="364"/>
      <c r="Z173" s="382"/>
      <c r="AA173" s="364"/>
      <c r="AB173" s="364"/>
      <c r="AC173" s="364"/>
      <c r="AD173" s="382"/>
      <c r="AE173" s="364"/>
      <c r="AF173" s="382"/>
      <c r="AG173" s="364"/>
      <c r="AH173" s="382"/>
      <c r="AI173" s="364"/>
      <c r="AJ173" s="382"/>
      <c r="AK173" s="364"/>
      <c r="AL173" s="382"/>
      <c r="AM173" s="352"/>
    </row>
    <row r="174" spans="1:39" s="351" customFormat="1">
      <c r="A174" s="363"/>
      <c r="B174" s="363"/>
      <c r="C174" s="364"/>
      <c r="D174" s="364"/>
      <c r="E174" s="364"/>
      <c r="F174" s="364"/>
      <c r="G174" s="364"/>
      <c r="H174" s="382"/>
      <c r="I174" s="364"/>
      <c r="J174" s="382"/>
      <c r="K174" s="364"/>
      <c r="L174" s="364"/>
      <c r="M174" s="364"/>
      <c r="N174" s="382"/>
      <c r="O174" s="364"/>
      <c r="P174" s="364"/>
      <c r="Q174" s="364"/>
      <c r="R174" s="382"/>
      <c r="S174" s="364"/>
      <c r="T174" s="382"/>
      <c r="U174" s="364"/>
      <c r="V174" s="382"/>
      <c r="W174" s="364"/>
      <c r="X174" s="382"/>
      <c r="Y174" s="364"/>
      <c r="Z174" s="382"/>
      <c r="AA174" s="364"/>
      <c r="AB174" s="364"/>
      <c r="AC174" s="364"/>
      <c r="AD174" s="382"/>
      <c r="AE174" s="364"/>
      <c r="AF174" s="382"/>
      <c r="AG174" s="364"/>
      <c r="AH174" s="382"/>
      <c r="AI174" s="364"/>
      <c r="AJ174" s="382"/>
      <c r="AK174" s="364"/>
      <c r="AL174" s="382"/>
      <c r="AM174" s="352"/>
    </row>
    <row r="175" spans="1:39" s="351" customFormat="1">
      <c r="A175" s="363"/>
      <c r="B175" s="363"/>
      <c r="C175" s="364"/>
      <c r="D175" s="364"/>
      <c r="E175" s="364"/>
      <c r="F175" s="364"/>
      <c r="G175" s="364"/>
      <c r="H175" s="382"/>
      <c r="I175" s="364"/>
      <c r="J175" s="382"/>
      <c r="K175" s="364"/>
      <c r="L175" s="364"/>
      <c r="M175" s="364"/>
      <c r="N175" s="382"/>
      <c r="O175" s="364"/>
      <c r="P175" s="364"/>
      <c r="Q175" s="364"/>
      <c r="R175" s="382"/>
      <c r="S175" s="364"/>
      <c r="T175" s="382"/>
      <c r="U175" s="364"/>
      <c r="V175" s="382"/>
      <c r="W175" s="364"/>
      <c r="X175" s="382"/>
      <c r="Y175" s="364"/>
      <c r="Z175" s="382"/>
      <c r="AA175" s="364"/>
      <c r="AB175" s="364"/>
      <c r="AC175" s="364"/>
      <c r="AD175" s="382"/>
      <c r="AE175" s="364"/>
      <c r="AF175" s="382"/>
      <c r="AG175" s="364"/>
      <c r="AH175" s="382"/>
      <c r="AI175" s="364"/>
      <c r="AJ175" s="382"/>
      <c r="AK175" s="364"/>
      <c r="AL175" s="382"/>
      <c r="AM175" s="352"/>
    </row>
    <row r="176" spans="1:39" s="351" customFormat="1">
      <c r="A176" s="363"/>
      <c r="B176" s="363"/>
      <c r="C176" s="364"/>
      <c r="D176" s="364"/>
      <c r="E176" s="364"/>
      <c r="F176" s="364"/>
      <c r="G176" s="364"/>
      <c r="H176" s="382"/>
      <c r="I176" s="364"/>
      <c r="J176" s="382"/>
      <c r="K176" s="364"/>
      <c r="L176" s="364"/>
      <c r="M176" s="364"/>
      <c r="N176" s="382"/>
      <c r="O176" s="364"/>
      <c r="P176" s="364"/>
      <c r="Q176" s="364"/>
      <c r="R176" s="382"/>
      <c r="S176" s="364"/>
      <c r="T176" s="382"/>
      <c r="U176" s="364"/>
      <c r="V176" s="382"/>
      <c r="W176" s="364"/>
      <c r="X176" s="382"/>
      <c r="Y176" s="364"/>
      <c r="Z176" s="382"/>
      <c r="AA176" s="364"/>
      <c r="AB176" s="364"/>
      <c r="AC176" s="364"/>
      <c r="AD176" s="382"/>
      <c r="AE176" s="364"/>
      <c r="AF176" s="382"/>
      <c r="AG176" s="364"/>
      <c r="AH176" s="382"/>
      <c r="AI176" s="364"/>
      <c r="AJ176" s="382"/>
      <c r="AK176" s="364"/>
      <c r="AL176" s="382"/>
      <c r="AM176" s="352"/>
    </row>
    <row r="177" spans="1:39" s="351" customFormat="1">
      <c r="A177" s="363"/>
      <c r="B177" s="363"/>
      <c r="C177" s="364"/>
      <c r="D177" s="364"/>
      <c r="E177" s="364"/>
      <c r="F177" s="364"/>
      <c r="G177" s="364"/>
      <c r="H177" s="382"/>
      <c r="I177" s="364"/>
      <c r="J177" s="382"/>
      <c r="K177" s="364"/>
      <c r="L177" s="364"/>
      <c r="M177" s="364"/>
      <c r="N177" s="382"/>
      <c r="O177" s="364"/>
      <c r="P177" s="364"/>
      <c r="Q177" s="364"/>
      <c r="R177" s="382"/>
      <c r="S177" s="364"/>
      <c r="T177" s="382"/>
      <c r="U177" s="364"/>
      <c r="V177" s="382"/>
      <c r="W177" s="364"/>
      <c r="X177" s="382"/>
      <c r="Y177" s="364"/>
      <c r="Z177" s="382"/>
      <c r="AA177" s="364"/>
      <c r="AB177" s="364"/>
      <c r="AC177" s="364"/>
      <c r="AD177" s="382"/>
      <c r="AE177" s="364"/>
      <c r="AF177" s="382"/>
      <c r="AG177" s="364"/>
      <c r="AH177" s="382"/>
      <c r="AI177" s="364"/>
      <c r="AJ177" s="382"/>
      <c r="AK177" s="364"/>
      <c r="AL177" s="382"/>
      <c r="AM177" s="352"/>
    </row>
    <row r="178" spans="1:39" s="351" customFormat="1">
      <c r="A178" s="363"/>
      <c r="B178" s="363"/>
      <c r="C178" s="364"/>
      <c r="D178" s="364"/>
      <c r="E178" s="364"/>
      <c r="F178" s="364"/>
      <c r="G178" s="364"/>
      <c r="H178" s="382"/>
      <c r="I178" s="364"/>
      <c r="J178" s="382"/>
      <c r="K178" s="364"/>
      <c r="L178" s="364"/>
      <c r="M178" s="364"/>
      <c r="N178" s="382"/>
      <c r="O178" s="364"/>
      <c r="P178" s="364"/>
      <c r="Q178" s="364"/>
      <c r="R178" s="382"/>
      <c r="S178" s="364"/>
      <c r="T178" s="382"/>
      <c r="U178" s="364"/>
      <c r="V178" s="382"/>
      <c r="W178" s="364"/>
      <c r="X178" s="382"/>
      <c r="Y178" s="364"/>
      <c r="Z178" s="382"/>
      <c r="AA178" s="364"/>
      <c r="AB178" s="364"/>
      <c r="AC178" s="364"/>
      <c r="AD178" s="382"/>
      <c r="AE178" s="364"/>
      <c r="AF178" s="382"/>
      <c r="AG178" s="364"/>
      <c r="AH178" s="382"/>
      <c r="AI178" s="364"/>
      <c r="AJ178" s="382"/>
      <c r="AK178" s="364"/>
      <c r="AL178" s="382"/>
      <c r="AM178" s="352"/>
    </row>
    <row r="179" spans="1:39" s="351" customFormat="1">
      <c r="A179" s="363"/>
      <c r="B179" s="363"/>
      <c r="C179" s="364"/>
      <c r="D179" s="364"/>
      <c r="E179" s="364"/>
      <c r="F179" s="364"/>
      <c r="G179" s="364"/>
      <c r="H179" s="382"/>
      <c r="I179" s="364"/>
      <c r="J179" s="382"/>
      <c r="K179" s="364"/>
      <c r="L179" s="364"/>
      <c r="M179" s="364"/>
      <c r="N179" s="382"/>
      <c r="O179" s="364"/>
      <c r="P179" s="364"/>
      <c r="Q179" s="364"/>
      <c r="R179" s="382"/>
      <c r="S179" s="364"/>
      <c r="T179" s="382"/>
      <c r="U179" s="364"/>
      <c r="V179" s="382"/>
      <c r="W179" s="364"/>
      <c r="X179" s="382"/>
      <c r="Y179" s="364"/>
      <c r="Z179" s="382"/>
      <c r="AA179" s="364"/>
      <c r="AB179" s="364"/>
      <c r="AC179" s="364"/>
      <c r="AD179" s="382"/>
      <c r="AE179" s="364"/>
      <c r="AF179" s="382"/>
      <c r="AG179" s="364"/>
      <c r="AH179" s="382"/>
      <c r="AI179" s="364"/>
      <c r="AJ179" s="382"/>
      <c r="AK179" s="364"/>
      <c r="AL179" s="382"/>
      <c r="AM179" s="352"/>
    </row>
    <row r="180" spans="1:39" s="351" customFormat="1">
      <c r="A180" s="363"/>
      <c r="B180" s="363"/>
      <c r="C180" s="364"/>
      <c r="D180" s="364"/>
      <c r="E180" s="364"/>
      <c r="F180" s="364"/>
      <c r="G180" s="364"/>
      <c r="H180" s="382"/>
      <c r="I180" s="364"/>
      <c r="J180" s="382"/>
      <c r="K180" s="364"/>
      <c r="L180" s="364"/>
      <c r="M180" s="364"/>
      <c r="N180" s="382"/>
      <c r="O180" s="364"/>
      <c r="P180" s="364"/>
      <c r="Q180" s="364"/>
      <c r="R180" s="382"/>
      <c r="S180" s="364"/>
      <c r="T180" s="382"/>
      <c r="U180" s="364"/>
      <c r="V180" s="382"/>
      <c r="W180" s="364"/>
      <c r="X180" s="382"/>
      <c r="Y180" s="364"/>
      <c r="Z180" s="382"/>
      <c r="AA180" s="364"/>
      <c r="AB180" s="364"/>
      <c r="AC180" s="364"/>
      <c r="AD180" s="382"/>
      <c r="AE180" s="364"/>
      <c r="AF180" s="382"/>
      <c r="AG180" s="364"/>
      <c r="AH180" s="382"/>
      <c r="AI180" s="364"/>
      <c r="AJ180" s="382"/>
      <c r="AK180" s="364"/>
      <c r="AL180" s="382"/>
      <c r="AM180" s="352"/>
    </row>
    <row r="181" spans="1:39" s="351" customFormat="1">
      <c r="A181" s="363"/>
      <c r="B181" s="363"/>
      <c r="C181" s="364"/>
      <c r="D181" s="364"/>
      <c r="E181" s="364"/>
      <c r="F181" s="364"/>
      <c r="G181" s="364"/>
      <c r="H181" s="382"/>
      <c r="I181" s="364"/>
      <c r="J181" s="382"/>
      <c r="K181" s="364"/>
      <c r="L181" s="364"/>
      <c r="M181" s="364"/>
      <c r="N181" s="382"/>
      <c r="O181" s="364"/>
      <c r="P181" s="364"/>
      <c r="Q181" s="364"/>
      <c r="R181" s="382"/>
      <c r="S181" s="364"/>
      <c r="T181" s="382"/>
      <c r="U181" s="364"/>
      <c r="V181" s="382"/>
      <c r="W181" s="364"/>
      <c r="X181" s="382"/>
      <c r="Y181" s="364"/>
      <c r="Z181" s="382"/>
      <c r="AA181" s="364"/>
      <c r="AB181" s="364"/>
      <c r="AC181" s="364"/>
      <c r="AD181" s="382"/>
      <c r="AE181" s="364"/>
      <c r="AF181" s="382"/>
      <c r="AG181" s="364"/>
      <c r="AH181" s="382"/>
      <c r="AI181" s="364"/>
      <c r="AJ181" s="382"/>
      <c r="AK181" s="364"/>
      <c r="AL181" s="382"/>
      <c r="AM181" s="352"/>
    </row>
    <row r="182" spans="1:39" s="351" customFormat="1">
      <c r="A182" s="363"/>
      <c r="B182" s="363"/>
      <c r="C182" s="364"/>
      <c r="D182" s="364"/>
      <c r="E182" s="364"/>
      <c r="F182" s="364"/>
      <c r="G182" s="364"/>
      <c r="H182" s="382"/>
      <c r="I182" s="364"/>
      <c r="J182" s="382"/>
      <c r="K182" s="364"/>
      <c r="L182" s="364"/>
      <c r="M182" s="364"/>
      <c r="N182" s="382"/>
      <c r="O182" s="364"/>
      <c r="P182" s="364"/>
      <c r="Q182" s="364"/>
      <c r="R182" s="382"/>
      <c r="S182" s="364"/>
      <c r="T182" s="382"/>
      <c r="U182" s="364"/>
      <c r="V182" s="382"/>
      <c r="W182" s="364"/>
      <c r="X182" s="382"/>
      <c r="Y182" s="364"/>
      <c r="Z182" s="382"/>
      <c r="AA182" s="364"/>
      <c r="AB182" s="364"/>
      <c r="AC182" s="364"/>
      <c r="AD182" s="382"/>
      <c r="AE182" s="364"/>
      <c r="AF182" s="382"/>
      <c r="AG182" s="364"/>
      <c r="AH182" s="382"/>
      <c r="AI182" s="364"/>
      <c r="AJ182" s="382"/>
      <c r="AK182" s="364"/>
      <c r="AL182" s="382"/>
      <c r="AM182" s="352"/>
    </row>
    <row r="183" spans="1:39" s="351" customFormat="1">
      <c r="A183" s="363"/>
      <c r="B183" s="363"/>
      <c r="C183" s="364"/>
      <c r="D183" s="364"/>
      <c r="E183" s="364"/>
      <c r="F183" s="364"/>
      <c r="G183" s="364"/>
      <c r="H183" s="382"/>
      <c r="I183" s="364"/>
      <c r="J183" s="382"/>
      <c r="K183" s="364"/>
      <c r="L183" s="364"/>
      <c r="M183" s="364"/>
      <c r="N183" s="382"/>
      <c r="O183" s="364"/>
      <c r="P183" s="364"/>
      <c r="Q183" s="364"/>
      <c r="R183" s="382"/>
      <c r="S183" s="364"/>
      <c r="T183" s="382"/>
      <c r="U183" s="364"/>
      <c r="V183" s="382"/>
      <c r="W183" s="364"/>
      <c r="X183" s="382"/>
      <c r="Y183" s="364"/>
      <c r="Z183" s="382"/>
      <c r="AA183" s="364"/>
      <c r="AB183" s="364"/>
      <c r="AC183" s="364"/>
      <c r="AD183" s="382"/>
      <c r="AE183" s="364"/>
      <c r="AF183" s="382"/>
      <c r="AG183" s="364"/>
      <c r="AH183" s="382"/>
      <c r="AI183" s="364"/>
      <c r="AJ183" s="382"/>
      <c r="AK183" s="364"/>
      <c r="AL183" s="382"/>
      <c r="AM183" s="352"/>
    </row>
    <row r="184" spans="1:39" s="351" customFormat="1">
      <c r="A184" s="363"/>
      <c r="B184" s="363"/>
      <c r="C184" s="364"/>
      <c r="D184" s="364"/>
      <c r="E184" s="364"/>
      <c r="F184" s="364"/>
      <c r="G184" s="364"/>
      <c r="H184" s="382"/>
      <c r="I184" s="364"/>
      <c r="J184" s="382"/>
      <c r="K184" s="364"/>
      <c r="L184" s="364"/>
      <c r="M184" s="364"/>
      <c r="N184" s="382"/>
      <c r="O184" s="364"/>
      <c r="P184" s="364"/>
      <c r="Q184" s="364"/>
      <c r="R184" s="382"/>
      <c r="S184" s="364"/>
      <c r="T184" s="382"/>
      <c r="U184" s="364"/>
      <c r="V184" s="382"/>
      <c r="W184" s="364"/>
      <c r="X184" s="382"/>
      <c r="Y184" s="364"/>
      <c r="Z184" s="382"/>
      <c r="AA184" s="364"/>
      <c r="AB184" s="364"/>
      <c r="AC184" s="364"/>
      <c r="AD184" s="382"/>
      <c r="AE184" s="364"/>
      <c r="AF184" s="382"/>
      <c r="AG184" s="364"/>
      <c r="AH184" s="382"/>
      <c r="AI184" s="364"/>
      <c r="AJ184" s="382"/>
      <c r="AK184" s="364"/>
      <c r="AL184" s="382"/>
      <c r="AM184" s="352"/>
    </row>
    <row r="185" spans="1:39" s="351" customFormat="1">
      <c r="A185" s="363"/>
      <c r="B185" s="363"/>
      <c r="C185" s="364"/>
      <c r="D185" s="364"/>
      <c r="E185" s="364"/>
      <c r="F185" s="364"/>
      <c r="G185" s="364"/>
      <c r="H185" s="382"/>
      <c r="I185" s="364"/>
      <c r="J185" s="382"/>
      <c r="K185" s="364"/>
      <c r="L185" s="364"/>
      <c r="M185" s="364"/>
      <c r="N185" s="382"/>
      <c r="O185" s="364"/>
      <c r="P185" s="364"/>
      <c r="Q185" s="364"/>
      <c r="R185" s="382"/>
      <c r="S185" s="364"/>
      <c r="T185" s="382"/>
      <c r="U185" s="364"/>
      <c r="V185" s="382"/>
      <c r="W185" s="364"/>
      <c r="X185" s="382"/>
      <c r="Y185" s="364"/>
      <c r="Z185" s="382"/>
      <c r="AA185" s="364"/>
      <c r="AB185" s="364"/>
      <c r="AC185" s="364"/>
      <c r="AD185" s="382"/>
      <c r="AE185" s="364"/>
      <c r="AF185" s="382"/>
      <c r="AG185" s="364"/>
      <c r="AH185" s="382"/>
      <c r="AI185" s="364"/>
      <c r="AJ185" s="382"/>
      <c r="AK185" s="364"/>
      <c r="AL185" s="382"/>
      <c r="AM185" s="352"/>
    </row>
    <row r="186" spans="1:39" s="351" customFormat="1">
      <c r="A186" s="363"/>
      <c r="B186" s="363"/>
      <c r="C186" s="364"/>
      <c r="D186" s="364"/>
      <c r="E186" s="364"/>
      <c r="F186" s="364"/>
      <c r="G186" s="364"/>
      <c r="H186" s="382"/>
      <c r="I186" s="364"/>
      <c r="J186" s="382"/>
      <c r="K186" s="364"/>
      <c r="L186" s="364"/>
      <c r="M186" s="364"/>
      <c r="N186" s="382"/>
      <c r="O186" s="364"/>
      <c r="P186" s="364"/>
      <c r="Q186" s="364"/>
      <c r="R186" s="382"/>
      <c r="S186" s="364"/>
      <c r="T186" s="382"/>
      <c r="U186" s="364"/>
      <c r="V186" s="382"/>
      <c r="W186" s="364"/>
      <c r="X186" s="382"/>
      <c r="Y186" s="364"/>
      <c r="Z186" s="382"/>
      <c r="AA186" s="364"/>
      <c r="AB186" s="364"/>
      <c r="AC186" s="364"/>
      <c r="AD186" s="382"/>
      <c r="AE186" s="364"/>
      <c r="AF186" s="382"/>
      <c r="AG186" s="364"/>
      <c r="AH186" s="382"/>
      <c r="AI186" s="364"/>
      <c r="AJ186" s="382"/>
      <c r="AK186" s="364"/>
      <c r="AL186" s="382"/>
      <c r="AM186" s="352"/>
    </row>
    <row r="187" spans="1:39" s="351" customFormat="1">
      <c r="A187" s="363"/>
      <c r="B187" s="363"/>
      <c r="C187" s="364"/>
      <c r="D187" s="364"/>
      <c r="E187" s="364"/>
      <c r="F187" s="364"/>
      <c r="G187" s="364"/>
      <c r="H187" s="382"/>
      <c r="I187" s="364"/>
      <c r="J187" s="382"/>
      <c r="K187" s="364"/>
      <c r="L187" s="364"/>
      <c r="M187" s="364"/>
      <c r="N187" s="382"/>
      <c r="O187" s="364"/>
      <c r="P187" s="364"/>
      <c r="Q187" s="364"/>
      <c r="R187" s="382"/>
      <c r="S187" s="364"/>
      <c r="T187" s="382"/>
      <c r="U187" s="364"/>
      <c r="V187" s="382"/>
      <c r="W187" s="364"/>
      <c r="X187" s="382"/>
      <c r="Y187" s="364"/>
      <c r="Z187" s="382"/>
      <c r="AA187" s="364"/>
      <c r="AB187" s="364"/>
      <c r="AC187" s="364"/>
      <c r="AD187" s="382"/>
      <c r="AE187" s="364"/>
      <c r="AF187" s="382"/>
      <c r="AG187" s="364"/>
      <c r="AH187" s="382"/>
      <c r="AI187" s="364"/>
      <c r="AJ187" s="382"/>
      <c r="AK187" s="364"/>
      <c r="AL187" s="382"/>
      <c r="AM187" s="352"/>
    </row>
    <row r="188" spans="1:39" s="351" customFormat="1">
      <c r="A188" s="363"/>
      <c r="B188" s="363"/>
      <c r="C188" s="364"/>
      <c r="D188" s="364"/>
      <c r="E188" s="364"/>
      <c r="F188" s="364"/>
      <c r="G188" s="364"/>
      <c r="H188" s="382"/>
      <c r="I188" s="364"/>
      <c r="J188" s="382"/>
      <c r="K188" s="364"/>
      <c r="L188" s="364"/>
      <c r="M188" s="364"/>
      <c r="N188" s="382"/>
      <c r="O188" s="364"/>
      <c r="P188" s="364"/>
      <c r="Q188" s="364"/>
      <c r="R188" s="382"/>
      <c r="S188" s="364"/>
      <c r="T188" s="382"/>
      <c r="U188" s="364"/>
      <c r="V188" s="382"/>
      <c r="W188" s="364"/>
      <c r="X188" s="382"/>
      <c r="Y188" s="364"/>
      <c r="Z188" s="382"/>
      <c r="AA188" s="364"/>
      <c r="AB188" s="364"/>
      <c r="AC188" s="364"/>
      <c r="AD188" s="382"/>
      <c r="AE188" s="364"/>
      <c r="AF188" s="382"/>
      <c r="AG188" s="364"/>
      <c r="AH188" s="382"/>
      <c r="AI188" s="364"/>
      <c r="AJ188" s="382"/>
      <c r="AK188" s="364"/>
      <c r="AL188" s="382"/>
      <c r="AM188" s="352"/>
    </row>
    <row r="189" spans="1:39" s="351" customFormat="1">
      <c r="A189" s="363"/>
      <c r="B189" s="363"/>
      <c r="C189" s="364"/>
      <c r="D189" s="364"/>
      <c r="E189" s="364"/>
      <c r="F189" s="364"/>
      <c r="G189" s="364"/>
      <c r="H189" s="382"/>
      <c r="I189" s="364"/>
      <c r="J189" s="382"/>
      <c r="K189" s="364"/>
      <c r="L189" s="364"/>
      <c r="M189" s="364"/>
      <c r="N189" s="382"/>
      <c r="O189" s="364"/>
      <c r="P189" s="364"/>
      <c r="Q189" s="364"/>
      <c r="R189" s="382"/>
      <c r="S189" s="364"/>
      <c r="T189" s="382"/>
      <c r="U189" s="364"/>
      <c r="V189" s="382"/>
      <c r="W189" s="364"/>
      <c r="X189" s="382"/>
      <c r="Y189" s="364"/>
      <c r="Z189" s="382"/>
      <c r="AA189" s="364"/>
      <c r="AB189" s="364"/>
      <c r="AC189" s="364"/>
      <c r="AD189" s="382"/>
      <c r="AE189" s="364"/>
      <c r="AF189" s="382"/>
      <c r="AG189" s="364"/>
      <c r="AH189" s="382"/>
      <c r="AI189" s="364"/>
      <c r="AJ189" s="382"/>
      <c r="AK189" s="364"/>
      <c r="AL189" s="382"/>
      <c r="AM189" s="352"/>
    </row>
    <row r="190" spans="1:39" s="351" customFormat="1">
      <c r="A190" s="363"/>
      <c r="B190" s="363"/>
      <c r="C190" s="364"/>
      <c r="D190" s="364"/>
      <c r="E190" s="364"/>
      <c r="F190" s="364"/>
      <c r="G190" s="364"/>
      <c r="H190" s="382"/>
      <c r="I190" s="364"/>
      <c r="J190" s="382"/>
      <c r="K190" s="364"/>
      <c r="L190" s="364"/>
      <c r="M190" s="364"/>
      <c r="N190" s="382"/>
      <c r="O190" s="364"/>
      <c r="P190" s="364"/>
      <c r="Q190" s="364"/>
      <c r="R190" s="382"/>
      <c r="S190" s="364"/>
      <c r="T190" s="382"/>
      <c r="U190" s="364"/>
      <c r="V190" s="382"/>
      <c r="W190" s="364"/>
      <c r="X190" s="382"/>
      <c r="Y190" s="364"/>
      <c r="Z190" s="382"/>
      <c r="AA190" s="364"/>
      <c r="AB190" s="364"/>
      <c r="AC190" s="364"/>
      <c r="AD190" s="382"/>
      <c r="AE190" s="364"/>
      <c r="AF190" s="382"/>
      <c r="AG190" s="364"/>
      <c r="AH190" s="382"/>
      <c r="AI190" s="364"/>
      <c r="AJ190" s="382"/>
      <c r="AK190" s="364"/>
      <c r="AL190" s="382"/>
      <c r="AM190" s="352"/>
    </row>
    <row r="191" spans="1:39" s="351" customFormat="1">
      <c r="A191" s="363"/>
      <c r="B191" s="363"/>
      <c r="C191" s="364"/>
      <c r="D191" s="364"/>
      <c r="E191" s="364"/>
      <c r="F191" s="364"/>
      <c r="G191" s="364"/>
      <c r="H191" s="382"/>
      <c r="I191" s="364"/>
      <c r="J191" s="382"/>
      <c r="K191" s="364"/>
      <c r="L191" s="364"/>
      <c r="M191" s="364"/>
      <c r="N191" s="382"/>
      <c r="O191" s="364"/>
      <c r="P191" s="364"/>
      <c r="Q191" s="364"/>
      <c r="R191" s="382"/>
      <c r="S191" s="364"/>
      <c r="T191" s="382"/>
      <c r="U191" s="364"/>
      <c r="V191" s="382"/>
      <c r="W191" s="364"/>
      <c r="X191" s="382"/>
      <c r="Y191" s="364"/>
      <c r="Z191" s="382"/>
      <c r="AA191" s="364"/>
      <c r="AB191" s="364"/>
      <c r="AC191" s="364"/>
      <c r="AD191" s="382"/>
      <c r="AE191" s="364"/>
      <c r="AF191" s="382"/>
      <c r="AG191" s="364"/>
      <c r="AH191" s="382"/>
      <c r="AI191" s="364"/>
      <c r="AJ191" s="382"/>
      <c r="AK191" s="364"/>
      <c r="AL191" s="382"/>
      <c r="AM191" s="352"/>
    </row>
    <row r="192" spans="1:39" s="351" customFormat="1">
      <c r="A192" s="363"/>
      <c r="B192" s="363"/>
      <c r="C192" s="364"/>
      <c r="D192" s="364"/>
      <c r="E192" s="364"/>
      <c r="F192" s="364"/>
      <c r="G192" s="364"/>
      <c r="H192" s="382"/>
      <c r="I192" s="364"/>
      <c r="J192" s="382"/>
      <c r="K192" s="364"/>
      <c r="L192" s="364"/>
      <c r="M192" s="364"/>
      <c r="N192" s="382"/>
      <c r="O192" s="364"/>
      <c r="P192" s="364"/>
      <c r="Q192" s="364"/>
      <c r="R192" s="382"/>
      <c r="S192" s="364"/>
      <c r="T192" s="382"/>
      <c r="U192" s="364"/>
      <c r="V192" s="382"/>
      <c r="W192" s="364"/>
      <c r="X192" s="382"/>
      <c r="Y192" s="364"/>
      <c r="Z192" s="382"/>
      <c r="AA192" s="364"/>
      <c r="AB192" s="364"/>
      <c r="AC192" s="364"/>
      <c r="AD192" s="382"/>
      <c r="AE192" s="364"/>
      <c r="AF192" s="382"/>
      <c r="AG192" s="364"/>
      <c r="AH192" s="382"/>
      <c r="AI192" s="364"/>
      <c r="AJ192" s="382"/>
      <c r="AK192" s="364"/>
      <c r="AL192" s="382"/>
      <c r="AM192" s="352"/>
    </row>
    <row r="193" spans="1:39" s="351" customFormat="1">
      <c r="A193" s="363"/>
      <c r="B193" s="363"/>
      <c r="C193" s="364"/>
      <c r="D193" s="364"/>
      <c r="E193" s="364"/>
      <c r="F193" s="364"/>
      <c r="G193" s="364"/>
      <c r="H193" s="382"/>
      <c r="I193" s="364"/>
      <c r="J193" s="382"/>
      <c r="K193" s="364"/>
      <c r="L193" s="364"/>
      <c r="M193" s="364"/>
      <c r="N193" s="382"/>
      <c r="O193" s="364"/>
      <c r="P193" s="364"/>
      <c r="Q193" s="364"/>
      <c r="R193" s="382"/>
      <c r="S193" s="364"/>
      <c r="T193" s="382"/>
      <c r="U193" s="364"/>
      <c r="V193" s="382"/>
      <c r="W193" s="364"/>
      <c r="X193" s="382"/>
      <c r="Y193" s="364"/>
      <c r="Z193" s="382"/>
      <c r="AA193" s="364"/>
      <c r="AB193" s="364"/>
      <c r="AC193" s="364"/>
      <c r="AD193" s="382"/>
      <c r="AE193" s="364"/>
      <c r="AF193" s="382"/>
      <c r="AG193" s="364"/>
      <c r="AH193" s="382"/>
      <c r="AI193" s="364"/>
      <c r="AJ193" s="382"/>
      <c r="AK193" s="364"/>
      <c r="AL193" s="382"/>
      <c r="AM193" s="352"/>
    </row>
    <row r="194" spans="1:39" s="351" customFormat="1">
      <c r="A194" s="363"/>
      <c r="B194" s="363"/>
      <c r="C194" s="364"/>
      <c r="D194" s="364"/>
      <c r="E194" s="364"/>
      <c r="F194" s="364"/>
      <c r="G194" s="364"/>
      <c r="H194" s="382"/>
      <c r="I194" s="364"/>
      <c r="J194" s="382"/>
      <c r="K194" s="364"/>
      <c r="L194" s="364"/>
      <c r="M194" s="364"/>
      <c r="N194" s="382"/>
      <c r="O194" s="364"/>
      <c r="P194" s="364"/>
      <c r="Q194" s="364"/>
      <c r="R194" s="382"/>
      <c r="S194" s="364"/>
      <c r="T194" s="382"/>
      <c r="U194" s="364"/>
      <c r="V194" s="382"/>
      <c r="W194" s="364"/>
      <c r="X194" s="382"/>
      <c r="Y194" s="364"/>
      <c r="Z194" s="382"/>
      <c r="AA194" s="364"/>
      <c r="AB194" s="364"/>
      <c r="AC194" s="364"/>
      <c r="AD194" s="382"/>
      <c r="AE194" s="364"/>
      <c r="AF194" s="382"/>
      <c r="AG194" s="364"/>
      <c r="AH194" s="382"/>
      <c r="AI194" s="364"/>
      <c r="AJ194" s="382"/>
      <c r="AK194" s="364"/>
      <c r="AL194" s="382"/>
      <c r="AM194" s="352"/>
    </row>
    <row r="195" spans="1:39" s="351" customFormat="1">
      <c r="A195" s="363"/>
      <c r="B195" s="363"/>
      <c r="C195" s="364"/>
      <c r="D195" s="364"/>
      <c r="E195" s="364"/>
      <c r="F195" s="364"/>
      <c r="G195" s="364"/>
      <c r="H195" s="382"/>
      <c r="I195" s="364"/>
      <c r="J195" s="382"/>
      <c r="K195" s="364"/>
      <c r="L195" s="364"/>
      <c r="M195" s="364"/>
      <c r="N195" s="382"/>
      <c r="O195" s="364"/>
      <c r="P195" s="364"/>
      <c r="Q195" s="364"/>
      <c r="R195" s="382"/>
      <c r="S195" s="364"/>
      <c r="T195" s="382"/>
      <c r="U195" s="364"/>
      <c r="V195" s="382"/>
      <c r="W195" s="364"/>
      <c r="X195" s="382"/>
      <c r="Y195" s="364"/>
      <c r="Z195" s="382"/>
      <c r="AA195" s="364"/>
      <c r="AB195" s="364"/>
      <c r="AC195" s="364"/>
      <c r="AD195" s="382"/>
      <c r="AE195" s="364"/>
      <c r="AF195" s="382"/>
      <c r="AG195" s="364"/>
      <c r="AH195" s="382"/>
      <c r="AI195" s="364"/>
      <c r="AJ195" s="382"/>
      <c r="AK195" s="364"/>
      <c r="AL195" s="382"/>
      <c r="AM195" s="352"/>
    </row>
    <row r="196" spans="1:39" s="351" customFormat="1">
      <c r="A196" s="363"/>
      <c r="B196" s="363"/>
      <c r="C196" s="364"/>
      <c r="D196" s="364"/>
      <c r="E196" s="364"/>
      <c r="F196" s="364"/>
      <c r="G196" s="364"/>
      <c r="H196" s="382"/>
      <c r="I196" s="364"/>
      <c r="J196" s="382"/>
      <c r="K196" s="364"/>
      <c r="L196" s="364"/>
      <c r="M196" s="364"/>
      <c r="N196" s="382"/>
      <c r="O196" s="364"/>
      <c r="P196" s="364"/>
      <c r="Q196" s="364"/>
      <c r="R196" s="382"/>
      <c r="S196" s="364"/>
      <c r="T196" s="382"/>
      <c r="U196" s="364"/>
      <c r="V196" s="382"/>
      <c r="W196" s="364"/>
      <c r="X196" s="382"/>
      <c r="Y196" s="364"/>
      <c r="Z196" s="382"/>
      <c r="AA196" s="364"/>
      <c r="AB196" s="364"/>
      <c r="AC196" s="364"/>
      <c r="AD196" s="382"/>
      <c r="AE196" s="364"/>
      <c r="AF196" s="382"/>
      <c r="AG196" s="364"/>
      <c r="AH196" s="382"/>
      <c r="AI196" s="364"/>
      <c r="AJ196" s="382"/>
      <c r="AK196" s="364"/>
      <c r="AL196" s="382"/>
      <c r="AM196" s="352"/>
    </row>
    <row r="197" spans="1:39" s="351" customFormat="1">
      <c r="A197" s="363"/>
      <c r="B197" s="363"/>
      <c r="C197" s="364"/>
      <c r="D197" s="364"/>
      <c r="E197" s="364"/>
      <c r="F197" s="364"/>
      <c r="G197" s="364"/>
      <c r="H197" s="382"/>
      <c r="I197" s="364"/>
      <c r="J197" s="382"/>
      <c r="K197" s="364"/>
      <c r="L197" s="364"/>
      <c r="M197" s="364"/>
      <c r="N197" s="382"/>
      <c r="O197" s="364"/>
      <c r="P197" s="364"/>
      <c r="Q197" s="364"/>
      <c r="R197" s="382"/>
      <c r="S197" s="364"/>
      <c r="T197" s="382"/>
      <c r="U197" s="364"/>
      <c r="V197" s="382"/>
      <c r="W197" s="364"/>
      <c r="X197" s="382"/>
      <c r="Y197" s="364"/>
      <c r="Z197" s="382"/>
      <c r="AA197" s="364"/>
      <c r="AB197" s="364"/>
      <c r="AC197" s="364"/>
      <c r="AD197" s="382"/>
      <c r="AE197" s="364"/>
      <c r="AF197" s="382"/>
      <c r="AG197" s="364"/>
      <c r="AH197" s="382"/>
      <c r="AI197" s="364"/>
      <c r="AJ197" s="382"/>
      <c r="AK197" s="364"/>
      <c r="AL197" s="382"/>
      <c r="AM197" s="352"/>
    </row>
    <row r="198" spans="1:39" s="351" customFormat="1">
      <c r="A198" s="363"/>
      <c r="B198" s="363"/>
      <c r="C198" s="364"/>
      <c r="D198" s="364"/>
      <c r="E198" s="364"/>
      <c r="F198" s="364"/>
      <c r="G198" s="364"/>
      <c r="H198" s="382"/>
      <c r="I198" s="364"/>
      <c r="J198" s="382"/>
      <c r="K198" s="364"/>
      <c r="L198" s="364"/>
      <c r="M198" s="364"/>
      <c r="N198" s="382"/>
      <c r="O198" s="364"/>
      <c r="P198" s="364"/>
      <c r="Q198" s="364"/>
      <c r="R198" s="382"/>
      <c r="S198" s="364"/>
      <c r="T198" s="382"/>
      <c r="U198" s="364"/>
      <c r="V198" s="382"/>
      <c r="W198" s="364"/>
      <c r="X198" s="382"/>
      <c r="Y198" s="364"/>
      <c r="Z198" s="382"/>
      <c r="AA198" s="364"/>
      <c r="AB198" s="364"/>
      <c r="AC198" s="364"/>
      <c r="AD198" s="382"/>
      <c r="AE198" s="364"/>
      <c r="AF198" s="382"/>
      <c r="AG198" s="364"/>
      <c r="AH198" s="382"/>
      <c r="AI198" s="364"/>
      <c r="AJ198" s="382"/>
      <c r="AK198" s="364"/>
      <c r="AL198" s="382"/>
      <c r="AM198" s="352"/>
    </row>
    <row r="199" spans="1:39" s="351" customFormat="1">
      <c r="A199" s="363"/>
      <c r="B199" s="363"/>
      <c r="C199" s="364"/>
      <c r="D199" s="364"/>
      <c r="E199" s="364"/>
      <c r="F199" s="364"/>
      <c r="G199" s="364"/>
      <c r="H199" s="382"/>
      <c r="I199" s="364"/>
      <c r="J199" s="382"/>
      <c r="K199" s="364"/>
      <c r="L199" s="364"/>
      <c r="M199" s="364"/>
      <c r="N199" s="382"/>
      <c r="O199" s="364"/>
      <c r="P199" s="364"/>
      <c r="Q199" s="364"/>
      <c r="R199" s="382"/>
      <c r="S199" s="364"/>
      <c r="T199" s="382"/>
      <c r="U199" s="364"/>
      <c r="V199" s="382"/>
      <c r="W199" s="364"/>
      <c r="X199" s="382"/>
      <c r="Y199" s="364"/>
      <c r="Z199" s="382"/>
      <c r="AA199" s="364"/>
      <c r="AB199" s="364"/>
      <c r="AC199" s="364"/>
      <c r="AD199" s="382"/>
      <c r="AE199" s="364"/>
      <c r="AF199" s="382"/>
      <c r="AG199" s="364"/>
      <c r="AH199" s="382"/>
      <c r="AI199" s="364"/>
      <c r="AJ199" s="382"/>
      <c r="AK199" s="364"/>
      <c r="AL199" s="382"/>
      <c r="AM199" s="352"/>
    </row>
    <row r="200" spans="1:39" s="351" customFormat="1">
      <c r="A200" s="363"/>
      <c r="B200" s="363"/>
      <c r="C200" s="364"/>
      <c r="D200" s="364"/>
      <c r="E200" s="364"/>
      <c r="F200" s="364"/>
      <c r="G200" s="364"/>
      <c r="H200" s="382"/>
      <c r="I200" s="364"/>
      <c r="J200" s="382"/>
      <c r="K200" s="364"/>
      <c r="L200" s="364"/>
      <c r="M200" s="364"/>
      <c r="N200" s="382"/>
      <c r="O200" s="364"/>
      <c r="P200" s="364"/>
      <c r="Q200" s="364"/>
      <c r="R200" s="382"/>
      <c r="S200" s="364"/>
      <c r="T200" s="382"/>
      <c r="U200" s="364"/>
      <c r="V200" s="382"/>
      <c r="W200" s="364"/>
      <c r="X200" s="382"/>
      <c r="Y200" s="364"/>
      <c r="Z200" s="382"/>
      <c r="AA200" s="364"/>
      <c r="AB200" s="364"/>
      <c r="AC200" s="364"/>
      <c r="AD200" s="382"/>
      <c r="AE200" s="364"/>
      <c r="AF200" s="382"/>
      <c r="AG200" s="364"/>
      <c r="AH200" s="382"/>
      <c r="AI200" s="364"/>
      <c r="AJ200" s="382"/>
      <c r="AK200" s="364"/>
      <c r="AL200" s="382"/>
      <c r="AM200" s="352"/>
    </row>
    <row r="201" spans="1:39" s="351" customFormat="1">
      <c r="A201" s="363"/>
      <c r="B201" s="363"/>
      <c r="C201" s="364"/>
      <c r="D201" s="364"/>
      <c r="E201" s="364"/>
      <c r="F201" s="364"/>
      <c r="G201" s="364"/>
      <c r="H201" s="382"/>
      <c r="I201" s="364"/>
      <c r="J201" s="382"/>
      <c r="K201" s="364"/>
      <c r="L201" s="364"/>
      <c r="M201" s="364"/>
      <c r="N201" s="382"/>
      <c r="O201" s="364"/>
      <c r="P201" s="364"/>
      <c r="Q201" s="364"/>
      <c r="R201" s="382"/>
      <c r="S201" s="364"/>
      <c r="T201" s="382"/>
      <c r="U201" s="364"/>
      <c r="V201" s="382"/>
      <c r="W201" s="364"/>
      <c r="X201" s="382"/>
      <c r="Y201" s="364"/>
      <c r="Z201" s="382"/>
      <c r="AA201" s="364"/>
      <c r="AB201" s="364"/>
      <c r="AC201" s="364"/>
      <c r="AD201" s="382"/>
      <c r="AE201" s="364"/>
      <c r="AF201" s="382"/>
      <c r="AG201" s="364"/>
      <c r="AH201" s="382"/>
      <c r="AI201" s="364"/>
      <c r="AJ201" s="382"/>
      <c r="AK201" s="364"/>
      <c r="AL201" s="382"/>
      <c r="AM201" s="352"/>
    </row>
    <row r="202" spans="1:39" s="351" customFormat="1">
      <c r="A202" s="363"/>
      <c r="B202" s="363"/>
      <c r="C202" s="364"/>
      <c r="D202" s="364"/>
      <c r="E202" s="364"/>
      <c r="F202" s="364"/>
      <c r="G202" s="364"/>
      <c r="H202" s="382"/>
      <c r="I202" s="364"/>
      <c r="J202" s="382"/>
      <c r="K202" s="364"/>
      <c r="L202" s="364"/>
      <c r="M202" s="364"/>
      <c r="N202" s="382"/>
      <c r="O202" s="364"/>
      <c r="P202" s="364"/>
      <c r="Q202" s="364"/>
      <c r="R202" s="382"/>
      <c r="S202" s="364"/>
      <c r="T202" s="382"/>
      <c r="U202" s="364"/>
      <c r="V202" s="382"/>
      <c r="W202" s="364"/>
      <c r="X202" s="382"/>
      <c r="Y202" s="364"/>
      <c r="Z202" s="382"/>
      <c r="AA202" s="364"/>
      <c r="AB202" s="364"/>
      <c r="AC202" s="364"/>
      <c r="AD202" s="382"/>
      <c r="AE202" s="364"/>
      <c r="AF202" s="382"/>
      <c r="AG202" s="364"/>
      <c r="AH202" s="382"/>
      <c r="AI202" s="364"/>
      <c r="AJ202" s="382"/>
      <c r="AK202" s="364"/>
      <c r="AL202" s="382"/>
      <c r="AM202" s="352"/>
    </row>
    <row r="203" spans="1:39" s="351" customFormat="1">
      <c r="A203" s="363"/>
      <c r="B203" s="363"/>
      <c r="C203" s="364"/>
      <c r="D203" s="364"/>
      <c r="E203" s="364"/>
      <c r="F203" s="364"/>
      <c r="G203" s="364"/>
      <c r="H203" s="382"/>
      <c r="I203" s="364"/>
      <c r="J203" s="382"/>
      <c r="K203" s="364"/>
      <c r="L203" s="364"/>
      <c r="M203" s="364"/>
      <c r="N203" s="382"/>
      <c r="O203" s="364"/>
      <c r="P203" s="364"/>
      <c r="Q203" s="364"/>
      <c r="R203" s="382"/>
      <c r="S203" s="364"/>
      <c r="T203" s="382"/>
      <c r="U203" s="364"/>
      <c r="V203" s="382"/>
      <c r="W203" s="364"/>
      <c r="X203" s="382"/>
      <c r="Y203" s="364"/>
      <c r="Z203" s="382"/>
      <c r="AA203" s="364"/>
      <c r="AB203" s="364"/>
      <c r="AC203" s="364"/>
      <c r="AD203" s="382"/>
      <c r="AE203" s="364"/>
      <c r="AF203" s="382"/>
      <c r="AG203" s="364"/>
      <c r="AH203" s="382"/>
      <c r="AI203" s="364"/>
      <c r="AJ203" s="382"/>
      <c r="AK203" s="364"/>
      <c r="AL203" s="382"/>
      <c r="AM203" s="352"/>
    </row>
    <row r="204" spans="1:39" s="351" customFormat="1">
      <c r="A204" s="363"/>
      <c r="B204" s="363"/>
      <c r="C204" s="364"/>
      <c r="D204" s="364"/>
      <c r="E204" s="364"/>
      <c r="F204" s="364"/>
      <c r="G204" s="364"/>
      <c r="H204" s="382"/>
      <c r="I204" s="364"/>
      <c r="J204" s="382"/>
      <c r="K204" s="364"/>
      <c r="L204" s="364"/>
      <c r="M204" s="364"/>
      <c r="N204" s="382"/>
      <c r="O204" s="364"/>
      <c r="P204" s="364"/>
      <c r="Q204" s="364"/>
      <c r="R204" s="382"/>
      <c r="S204" s="364"/>
      <c r="T204" s="382"/>
      <c r="U204" s="364"/>
      <c r="V204" s="382"/>
      <c r="W204" s="364"/>
      <c r="X204" s="382"/>
      <c r="Y204" s="364"/>
      <c r="Z204" s="382"/>
      <c r="AA204" s="364"/>
      <c r="AB204" s="364"/>
      <c r="AC204" s="364"/>
      <c r="AD204" s="382"/>
      <c r="AE204" s="364"/>
      <c r="AF204" s="382"/>
      <c r="AG204" s="364"/>
      <c r="AH204" s="382"/>
      <c r="AI204" s="364"/>
      <c r="AJ204" s="382"/>
      <c r="AK204" s="364"/>
      <c r="AL204" s="382"/>
      <c r="AM204" s="352"/>
    </row>
    <row r="205" spans="1:39" s="351" customFormat="1">
      <c r="A205" s="363"/>
      <c r="B205" s="363"/>
      <c r="C205" s="364"/>
      <c r="D205" s="364"/>
      <c r="E205" s="364"/>
      <c r="F205" s="364"/>
      <c r="G205" s="364"/>
      <c r="H205" s="382"/>
      <c r="I205" s="364"/>
      <c r="J205" s="382"/>
      <c r="K205" s="364"/>
      <c r="L205" s="364"/>
      <c r="M205" s="364"/>
      <c r="N205" s="382"/>
      <c r="O205" s="364"/>
      <c r="P205" s="364"/>
      <c r="Q205" s="364"/>
      <c r="R205" s="382"/>
      <c r="S205" s="364"/>
      <c r="T205" s="382"/>
      <c r="U205" s="364"/>
      <c r="V205" s="382"/>
      <c r="W205" s="364"/>
      <c r="X205" s="382"/>
      <c r="Y205" s="364"/>
      <c r="Z205" s="382"/>
      <c r="AA205" s="364"/>
      <c r="AB205" s="364"/>
      <c r="AC205" s="364"/>
      <c r="AD205" s="382"/>
      <c r="AE205" s="364"/>
      <c r="AF205" s="382"/>
      <c r="AG205" s="364"/>
      <c r="AH205" s="382"/>
      <c r="AI205" s="364"/>
      <c r="AJ205" s="382"/>
      <c r="AK205" s="364"/>
      <c r="AL205" s="382"/>
      <c r="AM205" s="352"/>
    </row>
    <row r="206" spans="1:39" s="351" customFormat="1">
      <c r="A206" s="363"/>
      <c r="B206" s="363"/>
      <c r="C206" s="364"/>
      <c r="D206" s="364"/>
      <c r="E206" s="364"/>
      <c r="F206" s="364"/>
      <c r="G206" s="364"/>
      <c r="H206" s="382"/>
      <c r="I206" s="364"/>
      <c r="J206" s="382"/>
      <c r="K206" s="364"/>
      <c r="L206" s="364"/>
      <c r="M206" s="364"/>
      <c r="N206" s="382"/>
      <c r="O206" s="364"/>
      <c r="P206" s="364"/>
      <c r="Q206" s="364"/>
      <c r="R206" s="382"/>
      <c r="S206" s="364"/>
      <c r="T206" s="382"/>
      <c r="U206" s="364"/>
      <c r="V206" s="382"/>
      <c r="W206" s="364"/>
      <c r="X206" s="382"/>
      <c r="Y206" s="364"/>
      <c r="Z206" s="382"/>
      <c r="AA206" s="364"/>
      <c r="AB206" s="364"/>
      <c r="AC206" s="364"/>
      <c r="AD206" s="382"/>
      <c r="AE206" s="364"/>
      <c r="AF206" s="382"/>
      <c r="AG206" s="364"/>
      <c r="AH206" s="382"/>
      <c r="AI206" s="364"/>
      <c r="AJ206" s="382"/>
      <c r="AK206" s="364"/>
      <c r="AL206" s="382"/>
      <c r="AM206" s="352"/>
    </row>
    <row r="207" spans="1:39" s="351" customFormat="1">
      <c r="A207" s="363"/>
      <c r="B207" s="363"/>
      <c r="C207" s="364"/>
      <c r="D207" s="364"/>
      <c r="E207" s="364"/>
      <c r="F207" s="364"/>
      <c r="G207" s="364"/>
      <c r="H207" s="382"/>
      <c r="I207" s="364"/>
      <c r="J207" s="382"/>
      <c r="K207" s="364"/>
      <c r="L207" s="364"/>
      <c r="M207" s="364"/>
      <c r="N207" s="382"/>
      <c r="O207" s="364"/>
      <c r="P207" s="364"/>
      <c r="Q207" s="364"/>
      <c r="R207" s="382"/>
      <c r="S207" s="364"/>
      <c r="T207" s="382"/>
      <c r="U207" s="364"/>
      <c r="V207" s="382"/>
      <c r="W207" s="364"/>
      <c r="X207" s="382"/>
      <c r="Y207" s="364"/>
      <c r="Z207" s="382"/>
      <c r="AA207" s="364"/>
      <c r="AB207" s="364"/>
      <c r="AC207" s="364"/>
      <c r="AD207" s="382"/>
      <c r="AE207" s="364"/>
      <c r="AF207" s="382"/>
      <c r="AG207" s="364"/>
      <c r="AH207" s="382"/>
      <c r="AI207" s="364"/>
      <c r="AJ207" s="382"/>
      <c r="AK207" s="364"/>
      <c r="AL207" s="382"/>
      <c r="AM207" s="352"/>
    </row>
    <row r="208" spans="1:39" s="351" customFormat="1">
      <c r="A208" s="363"/>
      <c r="B208" s="363"/>
      <c r="C208" s="364"/>
      <c r="D208" s="364"/>
      <c r="E208" s="364"/>
      <c r="F208" s="364"/>
      <c r="G208" s="364"/>
      <c r="H208" s="382"/>
      <c r="I208" s="364"/>
      <c r="J208" s="382"/>
      <c r="K208" s="364"/>
      <c r="L208" s="364"/>
      <c r="M208" s="364"/>
      <c r="N208" s="382"/>
      <c r="O208" s="364"/>
      <c r="P208" s="364"/>
      <c r="Q208" s="364"/>
      <c r="R208" s="382"/>
      <c r="S208" s="364"/>
      <c r="T208" s="382"/>
      <c r="U208" s="364"/>
      <c r="V208" s="382"/>
      <c r="W208" s="364"/>
      <c r="X208" s="382"/>
      <c r="Y208" s="364"/>
      <c r="Z208" s="382"/>
      <c r="AA208" s="364"/>
      <c r="AB208" s="364"/>
      <c r="AC208" s="364"/>
      <c r="AD208" s="382"/>
      <c r="AE208" s="364"/>
      <c r="AF208" s="382"/>
      <c r="AG208" s="364"/>
      <c r="AH208" s="382"/>
      <c r="AI208" s="364"/>
      <c r="AJ208" s="382"/>
      <c r="AK208" s="364"/>
      <c r="AL208" s="382"/>
      <c r="AM208" s="352"/>
    </row>
    <row r="209" spans="1:39" s="351" customFormat="1">
      <c r="A209" s="363"/>
      <c r="B209" s="363"/>
      <c r="C209" s="364"/>
      <c r="D209" s="364"/>
      <c r="E209" s="364"/>
      <c r="F209" s="364"/>
      <c r="G209" s="364"/>
      <c r="H209" s="382"/>
      <c r="I209" s="364"/>
      <c r="J209" s="382"/>
      <c r="K209" s="364"/>
      <c r="L209" s="364"/>
      <c r="M209" s="364"/>
      <c r="N209" s="382"/>
      <c r="O209" s="364"/>
      <c r="P209" s="364"/>
      <c r="Q209" s="364"/>
      <c r="R209" s="382"/>
      <c r="S209" s="364"/>
      <c r="T209" s="382"/>
      <c r="U209" s="364"/>
      <c r="V209" s="382"/>
      <c r="W209" s="364"/>
      <c r="X209" s="382"/>
      <c r="Y209" s="364"/>
      <c r="Z209" s="382"/>
      <c r="AA209" s="364"/>
      <c r="AB209" s="364"/>
      <c r="AC209" s="364"/>
      <c r="AD209" s="382"/>
      <c r="AE209" s="364"/>
      <c r="AF209" s="382"/>
      <c r="AG209" s="364"/>
      <c r="AH209" s="382"/>
      <c r="AI209" s="364"/>
      <c r="AJ209" s="382"/>
      <c r="AK209" s="364"/>
      <c r="AL209" s="382"/>
      <c r="AM209" s="352"/>
    </row>
    <row r="210" spans="1:39" s="351" customFormat="1">
      <c r="A210" s="363"/>
      <c r="B210" s="363"/>
      <c r="C210" s="364"/>
      <c r="D210" s="364"/>
      <c r="E210" s="364"/>
      <c r="F210" s="364"/>
      <c r="G210" s="364"/>
      <c r="H210" s="382"/>
      <c r="I210" s="364"/>
      <c r="J210" s="382"/>
      <c r="K210" s="364"/>
      <c r="L210" s="364"/>
      <c r="M210" s="364"/>
      <c r="N210" s="382"/>
      <c r="O210" s="364"/>
      <c r="P210" s="364"/>
      <c r="Q210" s="364"/>
      <c r="R210" s="382"/>
      <c r="S210" s="364"/>
      <c r="T210" s="382"/>
      <c r="U210" s="364"/>
      <c r="V210" s="382"/>
      <c r="W210" s="364"/>
      <c r="X210" s="382"/>
      <c r="Y210" s="364"/>
      <c r="Z210" s="382"/>
      <c r="AA210" s="364"/>
      <c r="AB210" s="364"/>
      <c r="AC210" s="364"/>
      <c r="AD210" s="382"/>
      <c r="AE210" s="364"/>
      <c r="AF210" s="382"/>
      <c r="AG210" s="364"/>
      <c r="AH210" s="382"/>
      <c r="AI210" s="364"/>
      <c r="AJ210" s="382"/>
      <c r="AK210" s="364"/>
      <c r="AL210" s="382"/>
      <c r="AM210" s="352"/>
    </row>
    <row r="211" spans="1:39" s="351" customFormat="1">
      <c r="A211" s="363"/>
      <c r="B211" s="363"/>
      <c r="C211" s="364"/>
      <c r="D211" s="364"/>
      <c r="E211" s="364"/>
      <c r="F211" s="364"/>
      <c r="G211" s="364"/>
      <c r="H211" s="382"/>
      <c r="I211" s="364"/>
      <c r="J211" s="382"/>
      <c r="K211" s="364"/>
      <c r="L211" s="364"/>
      <c r="M211" s="364"/>
      <c r="N211" s="382"/>
      <c r="O211" s="364"/>
      <c r="P211" s="364"/>
      <c r="Q211" s="364"/>
      <c r="R211" s="382"/>
      <c r="S211" s="364"/>
      <c r="T211" s="382"/>
      <c r="U211" s="364"/>
      <c r="V211" s="382"/>
      <c r="W211" s="364"/>
      <c r="X211" s="382"/>
      <c r="Y211" s="364"/>
      <c r="Z211" s="382"/>
      <c r="AA211" s="364"/>
      <c r="AB211" s="364"/>
      <c r="AC211" s="364"/>
      <c r="AD211" s="382"/>
      <c r="AE211" s="364"/>
      <c r="AF211" s="382"/>
      <c r="AG211" s="364"/>
      <c r="AH211" s="382"/>
      <c r="AI211" s="364"/>
      <c r="AJ211" s="382"/>
      <c r="AK211" s="364"/>
      <c r="AL211" s="382"/>
      <c r="AM211" s="352"/>
    </row>
    <row r="212" spans="1:39" s="351" customFormat="1">
      <c r="A212" s="363"/>
      <c r="B212" s="363"/>
      <c r="C212" s="364"/>
      <c r="D212" s="364"/>
      <c r="E212" s="364"/>
      <c r="F212" s="364"/>
      <c r="G212" s="364"/>
      <c r="H212" s="382"/>
      <c r="I212" s="364"/>
      <c r="J212" s="382"/>
      <c r="K212" s="364"/>
      <c r="L212" s="364"/>
      <c r="M212" s="364"/>
      <c r="N212" s="382"/>
      <c r="O212" s="364"/>
      <c r="P212" s="364"/>
      <c r="Q212" s="364"/>
      <c r="R212" s="382"/>
      <c r="S212" s="364"/>
      <c r="T212" s="382"/>
      <c r="U212" s="364"/>
      <c r="V212" s="382"/>
      <c r="W212" s="364"/>
      <c r="X212" s="382"/>
      <c r="Y212" s="364"/>
      <c r="Z212" s="382"/>
      <c r="AA212" s="364"/>
      <c r="AB212" s="364"/>
      <c r="AC212" s="364"/>
      <c r="AD212" s="382"/>
      <c r="AE212" s="364"/>
      <c r="AF212" s="382"/>
      <c r="AG212" s="364"/>
      <c r="AH212" s="382"/>
      <c r="AI212" s="364"/>
      <c r="AJ212" s="382"/>
      <c r="AK212" s="364"/>
      <c r="AL212" s="382"/>
      <c r="AM212" s="352"/>
    </row>
    <row r="213" spans="1:39" s="351" customFormat="1">
      <c r="A213" s="363"/>
      <c r="B213" s="363"/>
      <c r="C213" s="364"/>
      <c r="D213" s="364"/>
      <c r="E213" s="364"/>
      <c r="F213" s="364"/>
      <c r="G213" s="364"/>
      <c r="H213" s="382"/>
      <c r="I213" s="364"/>
      <c r="J213" s="382"/>
      <c r="K213" s="364"/>
      <c r="L213" s="364"/>
      <c r="M213" s="364"/>
      <c r="N213" s="382"/>
      <c r="O213" s="364"/>
      <c r="P213" s="364"/>
      <c r="Q213" s="364"/>
      <c r="R213" s="382"/>
      <c r="S213" s="364"/>
      <c r="T213" s="382"/>
      <c r="U213" s="364"/>
      <c r="V213" s="382"/>
      <c r="W213" s="364"/>
      <c r="X213" s="382"/>
      <c r="Y213" s="364"/>
      <c r="Z213" s="382"/>
      <c r="AA213" s="364"/>
      <c r="AB213" s="364"/>
      <c r="AC213" s="364"/>
      <c r="AD213" s="382"/>
      <c r="AE213" s="364"/>
      <c r="AF213" s="382"/>
      <c r="AG213" s="364"/>
      <c r="AH213" s="382"/>
      <c r="AI213" s="364"/>
      <c r="AJ213" s="382"/>
      <c r="AK213" s="364"/>
      <c r="AL213" s="382"/>
      <c r="AM213" s="352"/>
    </row>
    <row r="214" spans="1:39" s="351" customFormat="1">
      <c r="A214" s="363"/>
      <c r="B214" s="363"/>
      <c r="C214" s="364"/>
      <c r="D214" s="364"/>
      <c r="E214" s="364"/>
      <c r="F214" s="364"/>
      <c r="G214" s="364"/>
      <c r="H214" s="382"/>
      <c r="I214" s="364"/>
      <c r="J214" s="382"/>
      <c r="K214" s="364"/>
      <c r="L214" s="364"/>
      <c r="M214" s="364"/>
      <c r="N214" s="382"/>
      <c r="O214" s="364"/>
      <c r="P214" s="364"/>
      <c r="Q214" s="364"/>
      <c r="R214" s="382"/>
      <c r="S214" s="364"/>
      <c r="T214" s="382"/>
      <c r="U214" s="364"/>
      <c r="V214" s="382"/>
      <c r="W214" s="364"/>
      <c r="X214" s="382"/>
      <c r="Y214" s="364"/>
      <c r="Z214" s="382"/>
      <c r="AA214" s="364"/>
      <c r="AB214" s="364"/>
      <c r="AC214" s="364"/>
      <c r="AD214" s="382"/>
      <c r="AE214" s="364"/>
      <c r="AF214" s="382"/>
      <c r="AG214" s="364"/>
      <c r="AH214" s="382"/>
      <c r="AI214" s="364"/>
      <c r="AJ214" s="382"/>
      <c r="AK214" s="364"/>
      <c r="AL214" s="382"/>
      <c r="AM214" s="352"/>
    </row>
    <row r="215" spans="1:39" s="351" customFormat="1">
      <c r="A215" s="363"/>
      <c r="B215" s="363"/>
      <c r="C215" s="364"/>
      <c r="D215" s="364"/>
      <c r="E215" s="364"/>
      <c r="F215" s="364"/>
      <c r="G215" s="364"/>
      <c r="H215" s="382"/>
      <c r="I215" s="364"/>
      <c r="J215" s="382"/>
      <c r="K215" s="364"/>
      <c r="L215" s="364"/>
      <c r="M215" s="364"/>
      <c r="N215" s="382"/>
      <c r="O215" s="364"/>
      <c r="P215" s="364"/>
      <c r="Q215" s="364"/>
      <c r="R215" s="382"/>
      <c r="S215" s="364"/>
      <c r="T215" s="382"/>
      <c r="U215" s="364"/>
      <c r="V215" s="382"/>
      <c r="W215" s="364"/>
      <c r="X215" s="382"/>
      <c r="Y215" s="364"/>
      <c r="Z215" s="382"/>
      <c r="AA215" s="364"/>
      <c r="AB215" s="364"/>
      <c r="AC215" s="364"/>
      <c r="AD215" s="382"/>
      <c r="AE215" s="364"/>
      <c r="AF215" s="382"/>
      <c r="AG215" s="364"/>
      <c r="AH215" s="382"/>
      <c r="AI215" s="364"/>
      <c r="AJ215" s="382"/>
      <c r="AK215" s="364"/>
      <c r="AL215" s="382"/>
      <c r="AM215" s="352"/>
    </row>
    <row r="216" spans="1:39" s="351" customFormat="1">
      <c r="A216" s="363"/>
      <c r="B216" s="363"/>
      <c r="C216" s="364"/>
      <c r="D216" s="364"/>
      <c r="E216" s="364"/>
      <c r="F216" s="364"/>
      <c r="G216" s="364"/>
      <c r="H216" s="382"/>
      <c r="I216" s="364"/>
      <c r="J216" s="382"/>
      <c r="K216" s="364"/>
      <c r="L216" s="364"/>
      <c r="M216" s="364"/>
      <c r="N216" s="382"/>
      <c r="O216" s="364"/>
      <c r="P216" s="364"/>
      <c r="Q216" s="364"/>
      <c r="R216" s="382"/>
      <c r="S216" s="364"/>
      <c r="T216" s="382"/>
      <c r="U216" s="364"/>
      <c r="V216" s="382"/>
      <c r="W216" s="364"/>
      <c r="X216" s="382"/>
      <c r="Y216" s="364"/>
      <c r="Z216" s="382"/>
      <c r="AA216" s="364"/>
      <c r="AB216" s="364"/>
      <c r="AC216" s="364"/>
      <c r="AD216" s="382"/>
      <c r="AE216" s="364"/>
      <c r="AF216" s="382"/>
      <c r="AG216" s="364"/>
      <c r="AH216" s="382"/>
      <c r="AI216" s="364"/>
      <c r="AJ216" s="382"/>
      <c r="AK216" s="364"/>
      <c r="AL216" s="382"/>
      <c r="AM216" s="352"/>
    </row>
    <row r="217" spans="1:39" s="351" customFormat="1">
      <c r="A217" s="363"/>
      <c r="B217" s="363"/>
      <c r="C217" s="364"/>
      <c r="D217" s="364"/>
      <c r="E217" s="364"/>
      <c r="F217" s="364"/>
      <c r="G217" s="364"/>
      <c r="H217" s="382"/>
      <c r="I217" s="364"/>
      <c r="J217" s="382"/>
      <c r="K217" s="364"/>
      <c r="L217" s="364"/>
      <c r="M217" s="364"/>
      <c r="N217" s="382"/>
      <c r="O217" s="364"/>
      <c r="P217" s="364"/>
      <c r="Q217" s="364"/>
      <c r="R217" s="382"/>
      <c r="S217" s="364"/>
      <c r="T217" s="382"/>
      <c r="U217" s="364"/>
      <c r="V217" s="382"/>
      <c r="W217" s="364"/>
      <c r="X217" s="382"/>
      <c r="Y217" s="364"/>
      <c r="Z217" s="382"/>
      <c r="AA217" s="364"/>
      <c r="AB217" s="364"/>
      <c r="AC217" s="364"/>
      <c r="AD217" s="382"/>
      <c r="AE217" s="364"/>
      <c r="AF217" s="382"/>
      <c r="AG217" s="364"/>
      <c r="AH217" s="382"/>
      <c r="AI217" s="364"/>
      <c r="AJ217" s="382"/>
      <c r="AK217" s="364"/>
      <c r="AL217" s="382"/>
      <c r="AM217" s="352"/>
    </row>
    <row r="218" spans="1:39" s="351" customFormat="1">
      <c r="A218" s="363"/>
      <c r="B218" s="363"/>
      <c r="C218" s="364"/>
      <c r="D218" s="364"/>
      <c r="E218" s="364"/>
      <c r="F218" s="364"/>
      <c r="G218" s="364"/>
      <c r="H218" s="382"/>
      <c r="I218" s="364"/>
      <c r="J218" s="382"/>
      <c r="K218" s="364"/>
      <c r="L218" s="364"/>
      <c r="M218" s="364"/>
      <c r="N218" s="382"/>
      <c r="O218" s="364"/>
      <c r="P218" s="364"/>
      <c r="Q218" s="364"/>
      <c r="R218" s="382"/>
      <c r="S218" s="364"/>
      <c r="T218" s="382"/>
      <c r="U218" s="364"/>
      <c r="V218" s="382"/>
      <c r="W218" s="364"/>
      <c r="X218" s="382"/>
      <c r="Y218" s="364"/>
      <c r="Z218" s="382"/>
      <c r="AA218" s="364"/>
      <c r="AB218" s="364"/>
      <c r="AC218" s="364"/>
      <c r="AD218" s="382"/>
      <c r="AE218" s="364"/>
      <c r="AF218" s="382"/>
      <c r="AG218" s="364"/>
      <c r="AH218" s="382"/>
      <c r="AI218" s="364"/>
      <c r="AJ218" s="382"/>
      <c r="AK218" s="364"/>
      <c r="AL218" s="382"/>
      <c r="AM218" s="352"/>
    </row>
    <row r="219" spans="1:39" s="351" customFormat="1">
      <c r="A219" s="363"/>
      <c r="B219" s="363"/>
      <c r="C219" s="364"/>
      <c r="D219" s="364"/>
      <c r="E219" s="364"/>
      <c r="F219" s="364"/>
      <c r="G219" s="364"/>
      <c r="H219" s="382"/>
      <c r="I219" s="364"/>
      <c r="J219" s="382"/>
      <c r="K219" s="364"/>
      <c r="L219" s="364"/>
      <c r="M219" s="364"/>
      <c r="N219" s="382"/>
      <c r="O219" s="364"/>
      <c r="P219" s="364"/>
      <c r="Q219" s="364"/>
      <c r="R219" s="382"/>
      <c r="S219" s="364"/>
      <c r="T219" s="382"/>
      <c r="U219" s="364"/>
      <c r="V219" s="382"/>
      <c r="W219" s="364"/>
      <c r="X219" s="382"/>
      <c r="Y219" s="364"/>
      <c r="Z219" s="382"/>
      <c r="AA219" s="364"/>
      <c r="AB219" s="364"/>
      <c r="AC219" s="364"/>
      <c r="AD219" s="382"/>
      <c r="AE219" s="364"/>
      <c r="AF219" s="382"/>
      <c r="AG219" s="364"/>
      <c r="AH219" s="382"/>
      <c r="AI219" s="364"/>
      <c r="AJ219" s="382"/>
      <c r="AK219" s="364"/>
      <c r="AL219" s="382"/>
      <c r="AM219" s="352"/>
    </row>
    <row r="220" spans="1:39" s="351" customFormat="1">
      <c r="A220" s="363"/>
      <c r="B220" s="363"/>
      <c r="C220" s="364"/>
      <c r="D220" s="364"/>
      <c r="E220" s="364"/>
      <c r="F220" s="364"/>
      <c r="G220" s="364"/>
      <c r="H220" s="382"/>
      <c r="I220" s="364"/>
      <c r="J220" s="382"/>
      <c r="K220" s="364"/>
      <c r="L220" s="364"/>
      <c r="M220" s="364"/>
      <c r="N220" s="382"/>
      <c r="O220" s="364"/>
      <c r="P220" s="364"/>
      <c r="Q220" s="364"/>
      <c r="R220" s="382"/>
      <c r="S220" s="364"/>
      <c r="T220" s="382"/>
      <c r="U220" s="364"/>
      <c r="V220" s="382"/>
      <c r="W220" s="364"/>
      <c r="X220" s="382"/>
      <c r="Y220" s="364"/>
      <c r="Z220" s="382"/>
      <c r="AA220" s="364"/>
      <c r="AB220" s="364"/>
      <c r="AC220" s="364"/>
      <c r="AD220" s="382"/>
      <c r="AE220" s="364"/>
      <c r="AF220" s="382"/>
      <c r="AG220" s="364"/>
      <c r="AH220" s="382"/>
      <c r="AI220" s="364"/>
      <c r="AJ220" s="382"/>
      <c r="AK220" s="364"/>
      <c r="AL220" s="382"/>
      <c r="AM220" s="352"/>
    </row>
    <row r="221" spans="1:39" s="351" customFormat="1">
      <c r="A221" s="363"/>
      <c r="B221" s="363"/>
      <c r="C221" s="364"/>
      <c r="D221" s="364"/>
      <c r="E221" s="364"/>
      <c r="F221" s="364"/>
      <c r="G221" s="364"/>
      <c r="H221" s="382"/>
      <c r="I221" s="364"/>
      <c r="J221" s="382"/>
      <c r="K221" s="364"/>
      <c r="L221" s="364"/>
      <c r="M221" s="364"/>
      <c r="N221" s="382"/>
      <c r="O221" s="364"/>
      <c r="P221" s="364"/>
      <c r="Q221" s="364"/>
      <c r="R221" s="382"/>
      <c r="S221" s="364"/>
      <c r="T221" s="382"/>
      <c r="U221" s="364"/>
      <c r="V221" s="382"/>
      <c r="W221" s="364"/>
      <c r="X221" s="382"/>
      <c r="Y221" s="364"/>
      <c r="Z221" s="382"/>
      <c r="AA221" s="364"/>
      <c r="AB221" s="364"/>
      <c r="AC221" s="364"/>
      <c r="AD221" s="382"/>
      <c r="AE221" s="364"/>
      <c r="AF221" s="382"/>
      <c r="AG221" s="364"/>
      <c r="AH221" s="382"/>
      <c r="AI221" s="364"/>
      <c r="AJ221" s="382"/>
      <c r="AK221" s="364"/>
      <c r="AL221" s="382"/>
      <c r="AM221" s="352"/>
    </row>
    <row r="222" spans="1:39" s="351" customFormat="1">
      <c r="A222" s="363"/>
      <c r="B222" s="363"/>
      <c r="C222" s="364"/>
      <c r="D222" s="364"/>
      <c r="E222" s="364"/>
      <c r="F222" s="364"/>
      <c r="G222" s="364"/>
      <c r="H222" s="382"/>
      <c r="I222" s="364"/>
      <c r="J222" s="382"/>
      <c r="K222" s="364"/>
      <c r="L222" s="364"/>
      <c r="M222" s="364"/>
      <c r="N222" s="382"/>
      <c r="O222" s="364"/>
      <c r="P222" s="364"/>
      <c r="Q222" s="364"/>
      <c r="R222" s="382"/>
      <c r="S222" s="364"/>
      <c r="T222" s="382"/>
      <c r="U222" s="364"/>
      <c r="V222" s="382"/>
      <c r="W222" s="364"/>
      <c r="X222" s="382"/>
      <c r="Y222" s="364"/>
      <c r="Z222" s="382"/>
      <c r="AA222" s="364"/>
      <c r="AB222" s="364"/>
      <c r="AC222" s="364"/>
      <c r="AD222" s="382"/>
      <c r="AE222" s="364"/>
      <c r="AF222" s="382"/>
      <c r="AG222" s="364"/>
      <c r="AH222" s="382"/>
      <c r="AI222" s="364"/>
      <c r="AJ222" s="382"/>
      <c r="AK222" s="364"/>
      <c r="AL222" s="382"/>
      <c r="AM222" s="352"/>
    </row>
    <row r="223" spans="1:39" s="351" customFormat="1">
      <c r="A223" s="363"/>
      <c r="B223" s="363"/>
      <c r="C223" s="364"/>
      <c r="D223" s="364"/>
      <c r="E223" s="364"/>
      <c r="F223" s="364"/>
      <c r="G223" s="364"/>
      <c r="H223" s="382"/>
      <c r="I223" s="364"/>
      <c r="J223" s="382"/>
      <c r="K223" s="364"/>
      <c r="L223" s="364"/>
      <c r="M223" s="364"/>
      <c r="N223" s="382"/>
      <c r="O223" s="364"/>
      <c r="P223" s="364"/>
      <c r="Q223" s="364"/>
      <c r="R223" s="382"/>
      <c r="S223" s="364"/>
      <c r="T223" s="382"/>
      <c r="U223" s="364"/>
      <c r="V223" s="382"/>
      <c r="W223" s="364"/>
      <c r="X223" s="382"/>
      <c r="Y223" s="364"/>
      <c r="Z223" s="382"/>
      <c r="AA223" s="364"/>
      <c r="AB223" s="364"/>
      <c r="AC223" s="364"/>
      <c r="AD223" s="382"/>
      <c r="AE223" s="364"/>
      <c r="AF223" s="382"/>
      <c r="AG223" s="364"/>
      <c r="AH223" s="382"/>
      <c r="AI223" s="364"/>
      <c r="AJ223" s="382"/>
      <c r="AK223" s="364"/>
      <c r="AL223" s="382"/>
      <c r="AM223" s="352"/>
    </row>
    <row r="224" spans="1:39" s="351" customFormat="1">
      <c r="A224" s="363"/>
      <c r="B224" s="363"/>
      <c r="C224" s="364"/>
      <c r="D224" s="364"/>
      <c r="E224" s="364"/>
      <c r="F224" s="364"/>
      <c r="G224" s="364"/>
      <c r="H224" s="382"/>
      <c r="I224" s="364"/>
      <c r="J224" s="382"/>
      <c r="K224" s="364"/>
      <c r="L224" s="364"/>
      <c r="M224" s="364"/>
      <c r="N224" s="382"/>
      <c r="O224" s="364"/>
      <c r="P224" s="364"/>
      <c r="Q224" s="364"/>
      <c r="R224" s="382"/>
      <c r="S224" s="364"/>
      <c r="T224" s="382"/>
      <c r="U224" s="364"/>
      <c r="V224" s="382"/>
      <c r="W224" s="364"/>
      <c r="X224" s="382"/>
      <c r="Y224" s="364"/>
      <c r="Z224" s="382"/>
      <c r="AA224" s="364"/>
      <c r="AB224" s="364"/>
      <c r="AC224" s="364"/>
      <c r="AD224" s="382"/>
      <c r="AE224" s="364"/>
      <c r="AF224" s="382"/>
      <c r="AG224" s="364"/>
      <c r="AH224" s="382"/>
      <c r="AI224" s="364"/>
      <c r="AJ224" s="382"/>
      <c r="AK224" s="364"/>
      <c r="AL224" s="382"/>
      <c r="AM224" s="352"/>
    </row>
    <row r="225" spans="1:39" s="351" customFormat="1">
      <c r="A225" s="363"/>
      <c r="B225" s="363"/>
      <c r="C225" s="364"/>
      <c r="D225" s="364"/>
      <c r="E225" s="364"/>
      <c r="F225" s="364"/>
      <c r="G225" s="364"/>
      <c r="H225" s="382"/>
      <c r="I225" s="364"/>
      <c r="J225" s="382"/>
      <c r="K225" s="364"/>
      <c r="L225" s="364"/>
      <c r="M225" s="364"/>
      <c r="N225" s="382"/>
      <c r="O225" s="364"/>
      <c r="P225" s="364"/>
      <c r="Q225" s="364"/>
      <c r="R225" s="382"/>
      <c r="S225" s="364"/>
      <c r="T225" s="382"/>
      <c r="U225" s="364"/>
      <c r="V225" s="382"/>
      <c r="W225" s="364"/>
      <c r="X225" s="382"/>
      <c r="Y225" s="364"/>
      <c r="Z225" s="382"/>
      <c r="AA225" s="364"/>
      <c r="AB225" s="364"/>
      <c r="AC225" s="364"/>
      <c r="AD225" s="382"/>
      <c r="AE225" s="364"/>
      <c r="AF225" s="382"/>
      <c r="AG225" s="364"/>
      <c r="AH225" s="382"/>
      <c r="AI225" s="364"/>
      <c r="AJ225" s="382"/>
      <c r="AK225" s="364"/>
      <c r="AL225" s="382"/>
      <c r="AM225" s="352"/>
    </row>
    <row r="226" spans="1:39" s="351" customFormat="1">
      <c r="A226" s="363"/>
      <c r="B226" s="363"/>
      <c r="C226" s="364"/>
      <c r="D226" s="364"/>
      <c r="E226" s="364"/>
      <c r="F226" s="364"/>
      <c r="G226" s="364"/>
      <c r="H226" s="382"/>
      <c r="I226" s="364"/>
      <c r="J226" s="382"/>
      <c r="K226" s="364"/>
      <c r="L226" s="364"/>
      <c r="M226" s="364"/>
      <c r="N226" s="382"/>
      <c r="O226" s="364"/>
      <c r="P226" s="364"/>
      <c r="Q226" s="364"/>
      <c r="R226" s="382"/>
      <c r="S226" s="364"/>
      <c r="T226" s="382"/>
      <c r="U226" s="364"/>
      <c r="V226" s="382"/>
      <c r="W226" s="364"/>
      <c r="X226" s="382"/>
      <c r="Y226" s="364"/>
      <c r="Z226" s="382"/>
      <c r="AA226" s="364"/>
      <c r="AB226" s="364"/>
      <c r="AC226" s="364"/>
      <c r="AD226" s="382"/>
      <c r="AE226" s="364"/>
      <c r="AF226" s="382"/>
      <c r="AG226" s="364"/>
      <c r="AH226" s="382"/>
      <c r="AI226" s="364"/>
      <c r="AJ226" s="382"/>
      <c r="AK226" s="364"/>
      <c r="AL226" s="382"/>
      <c r="AM226" s="352"/>
    </row>
    <row r="227" spans="1:39" s="351" customFormat="1">
      <c r="A227" s="363"/>
      <c r="B227" s="363"/>
      <c r="C227" s="364"/>
      <c r="D227" s="364"/>
      <c r="E227" s="364"/>
      <c r="F227" s="364"/>
      <c r="G227" s="364"/>
      <c r="H227" s="382"/>
      <c r="I227" s="364"/>
      <c r="J227" s="382"/>
      <c r="K227" s="364"/>
      <c r="L227" s="364"/>
      <c r="M227" s="364"/>
      <c r="N227" s="382"/>
      <c r="O227" s="364"/>
      <c r="P227" s="364"/>
      <c r="Q227" s="364"/>
      <c r="R227" s="382"/>
      <c r="S227" s="364"/>
      <c r="T227" s="382"/>
      <c r="U227" s="364"/>
      <c r="V227" s="382"/>
      <c r="W227" s="364"/>
      <c r="X227" s="382"/>
      <c r="Y227" s="364"/>
      <c r="Z227" s="382"/>
      <c r="AA227" s="364"/>
      <c r="AB227" s="364"/>
      <c r="AC227" s="364"/>
      <c r="AD227" s="382"/>
      <c r="AE227" s="364"/>
      <c r="AF227" s="382"/>
      <c r="AG227" s="364"/>
      <c r="AH227" s="382"/>
      <c r="AI227" s="364"/>
      <c r="AJ227" s="382"/>
      <c r="AK227" s="364"/>
      <c r="AL227" s="382"/>
      <c r="AM227" s="352"/>
    </row>
    <row r="228" spans="1:39" s="351" customFormat="1">
      <c r="A228" s="363"/>
      <c r="B228" s="363"/>
      <c r="C228" s="364"/>
      <c r="D228" s="364"/>
      <c r="E228" s="364"/>
      <c r="F228" s="364"/>
      <c r="G228" s="364"/>
      <c r="H228" s="382"/>
      <c r="I228" s="364"/>
      <c r="J228" s="382"/>
      <c r="K228" s="364"/>
      <c r="L228" s="364"/>
      <c r="M228" s="364"/>
      <c r="N228" s="382"/>
      <c r="O228" s="364"/>
      <c r="P228" s="364"/>
      <c r="Q228" s="364"/>
      <c r="R228" s="382"/>
      <c r="S228" s="364"/>
      <c r="T228" s="382"/>
      <c r="U228" s="364"/>
      <c r="V228" s="382"/>
      <c r="W228" s="364"/>
      <c r="X228" s="382"/>
      <c r="Y228" s="364"/>
      <c r="Z228" s="382"/>
      <c r="AA228" s="364"/>
      <c r="AB228" s="364"/>
      <c r="AC228" s="364"/>
      <c r="AD228" s="382"/>
      <c r="AE228" s="364"/>
      <c r="AF228" s="382"/>
      <c r="AG228" s="364"/>
      <c r="AH228" s="382"/>
      <c r="AI228" s="364"/>
      <c r="AJ228" s="382"/>
      <c r="AK228" s="364"/>
      <c r="AL228" s="382"/>
      <c r="AM228" s="352"/>
    </row>
    <row r="229" spans="1:39" s="351" customFormat="1">
      <c r="A229" s="363"/>
      <c r="B229" s="363"/>
      <c r="C229" s="364"/>
      <c r="D229" s="364"/>
      <c r="E229" s="364"/>
      <c r="F229" s="364"/>
      <c r="G229" s="364"/>
      <c r="H229" s="382"/>
      <c r="I229" s="364"/>
      <c r="J229" s="382"/>
      <c r="K229" s="364"/>
      <c r="L229" s="364"/>
      <c r="M229" s="364"/>
      <c r="N229" s="382"/>
      <c r="O229" s="364"/>
      <c r="P229" s="364"/>
      <c r="Q229" s="364"/>
      <c r="R229" s="382"/>
      <c r="S229" s="364"/>
      <c r="T229" s="382"/>
      <c r="U229" s="364"/>
      <c r="V229" s="382"/>
      <c r="W229" s="364"/>
      <c r="X229" s="382"/>
      <c r="Y229" s="364"/>
      <c r="Z229" s="382"/>
      <c r="AA229" s="364"/>
      <c r="AB229" s="364"/>
      <c r="AC229" s="364"/>
      <c r="AD229" s="382"/>
      <c r="AE229" s="364"/>
      <c r="AF229" s="382"/>
      <c r="AG229" s="364"/>
      <c r="AH229" s="382"/>
      <c r="AI229" s="364"/>
      <c r="AJ229" s="382"/>
      <c r="AK229" s="364"/>
      <c r="AL229" s="382"/>
      <c r="AM229" s="352"/>
    </row>
    <row r="230" spans="1:39" s="351" customFormat="1">
      <c r="A230" s="363"/>
      <c r="B230" s="363"/>
      <c r="C230" s="364"/>
      <c r="D230" s="364"/>
      <c r="E230" s="364"/>
      <c r="F230" s="364"/>
      <c r="G230" s="364"/>
      <c r="H230" s="382"/>
      <c r="I230" s="364"/>
      <c r="J230" s="382"/>
      <c r="K230" s="364"/>
      <c r="L230" s="364"/>
      <c r="M230" s="364"/>
      <c r="N230" s="382"/>
      <c r="O230" s="364"/>
      <c r="P230" s="364"/>
      <c r="Q230" s="364"/>
      <c r="R230" s="382"/>
      <c r="S230" s="364"/>
      <c r="T230" s="382"/>
      <c r="U230" s="364"/>
      <c r="V230" s="382"/>
      <c r="W230" s="364"/>
      <c r="X230" s="382"/>
      <c r="Y230" s="364"/>
      <c r="Z230" s="382"/>
      <c r="AA230" s="364"/>
      <c r="AB230" s="364"/>
      <c r="AC230" s="364"/>
      <c r="AD230" s="382"/>
      <c r="AE230" s="364"/>
      <c r="AF230" s="382"/>
      <c r="AG230" s="364"/>
      <c r="AH230" s="382"/>
      <c r="AI230" s="364"/>
      <c r="AJ230" s="382"/>
      <c r="AK230" s="364"/>
      <c r="AL230" s="382"/>
      <c r="AM230" s="352"/>
    </row>
    <row r="231" spans="1:39" s="351" customFormat="1">
      <c r="A231" s="363"/>
      <c r="B231" s="363"/>
      <c r="C231" s="364"/>
      <c r="D231" s="364"/>
      <c r="E231" s="364"/>
      <c r="F231" s="364"/>
      <c r="G231" s="364"/>
      <c r="H231" s="382"/>
      <c r="I231" s="364"/>
      <c r="J231" s="382"/>
      <c r="K231" s="364"/>
      <c r="L231" s="364"/>
      <c r="M231" s="364"/>
      <c r="N231" s="382"/>
      <c r="O231" s="364"/>
      <c r="P231" s="364"/>
      <c r="Q231" s="364"/>
      <c r="R231" s="382"/>
      <c r="S231" s="364"/>
      <c r="T231" s="382"/>
      <c r="U231" s="364"/>
      <c r="V231" s="382"/>
      <c r="W231" s="364"/>
      <c r="X231" s="382"/>
      <c r="Y231" s="364"/>
      <c r="Z231" s="382"/>
      <c r="AA231" s="364"/>
      <c r="AB231" s="364"/>
      <c r="AC231" s="364"/>
      <c r="AD231" s="382"/>
      <c r="AE231" s="364"/>
      <c r="AF231" s="382"/>
      <c r="AG231" s="364"/>
      <c r="AH231" s="382"/>
      <c r="AI231" s="364"/>
      <c r="AJ231" s="382"/>
      <c r="AK231" s="364"/>
      <c r="AL231" s="382"/>
      <c r="AM231" s="352"/>
    </row>
    <row r="232" spans="1:39" s="351" customFormat="1">
      <c r="A232" s="363"/>
      <c r="B232" s="363"/>
      <c r="C232" s="364"/>
      <c r="D232" s="364"/>
      <c r="E232" s="364"/>
      <c r="F232" s="364"/>
      <c r="G232" s="364"/>
      <c r="H232" s="382"/>
      <c r="I232" s="364"/>
      <c r="J232" s="382"/>
      <c r="K232" s="364"/>
      <c r="L232" s="364"/>
      <c r="M232" s="364"/>
      <c r="N232" s="382"/>
      <c r="O232" s="364"/>
      <c r="P232" s="364"/>
      <c r="Q232" s="364"/>
      <c r="R232" s="382"/>
      <c r="S232" s="364"/>
      <c r="T232" s="382"/>
      <c r="U232" s="364"/>
      <c r="V232" s="382"/>
      <c r="W232" s="364"/>
      <c r="X232" s="382"/>
      <c r="Y232" s="364"/>
      <c r="Z232" s="382"/>
      <c r="AA232" s="364"/>
      <c r="AB232" s="364"/>
      <c r="AC232" s="364"/>
      <c r="AD232" s="382"/>
      <c r="AE232" s="364"/>
      <c r="AF232" s="382"/>
      <c r="AG232" s="364"/>
      <c r="AH232" s="382"/>
      <c r="AI232" s="364"/>
      <c r="AJ232" s="382"/>
      <c r="AK232" s="364"/>
      <c r="AL232" s="382"/>
      <c r="AM232" s="352"/>
    </row>
    <row r="233" spans="1:39" s="351" customFormat="1">
      <c r="A233" s="363"/>
      <c r="B233" s="363"/>
      <c r="C233" s="364"/>
      <c r="D233" s="364"/>
      <c r="E233" s="364"/>
      <c r="F233" s="364"/>
      <c r="G233" s="364"/>
      <c r="H233" s="382"/>
      <c r="I233" s="364"/>
      <c r="J233" s="382"/>
      <c r="K233" s="364"/>
      <c r="L233" s="364"/>
      <c r="M233" s="364"/>
      <c r="N233" s="382"/>
      <c r="O233" s="364"/>
      <c r="P233" s="364"/>
      <c r="Q233" s="364"/>
      <c r="R233" s="382"/>
      <c r="S233" s="364"/>
      <c r="T233" s="382"/>
      <c r="U233" s="364"/>
      <c r="V233" s="382"/>
      <c r="W233" s="364"/>
      <c r="X233" s="382"/>
      <c r="Y233" s="364"/>
      <c r="Z233" s="382"/>
      <c r="AA233" s="364"/>
      <c r="AB233" s="364"/>
      <c r="AC233" s="364"/>
      <c r="AD233" s="382"/>
      <c r="AE233" s="364"/>
      <c r="AF233" s="382"/>
      <c r="AG233" s="364"/>
      <c r="AH233" s="382"/>
      <c r="AI233" s="364"/>
      <c r="AJ233" s="382"/>
      <c r="AK233" s="364"/>
      <c r="AL233" s="382"/>
      <c r="AM233" s="352"/>
    </row>
    <row r="234" spans="1:39" s="351" customFormat="1">
      <c r="A234" s="363"/>
      <c r="B234" s="363"/>
      <c r="C234" s="364"/>
      <c r="D234" s="364"/>
      <c r="E234" s="364"/>
      <c r="F234" s="364"/>
      <c r="G234" s="364"/>
      <c r="H234" s="382"/>
      <c r="I234" s="364"/>
      <c r="J234" s="382"/>
      <c r="K234" s="364"/>
      <c r="L234" s="364"/>
      <c r="M234" s="364"/>
      <c r="N234" s="382"/>
      <c r="O234" s="364"/>
      <c r="P234" s="364"/>
      <c r="Q234" s="364"/>
      <c r="R234" s="382"/>
      <c r="S234" s="364"/>
      <c r="T234" s="382"/>
      <c r="U234" s="364"/>
      <c r="V234" s="382"/>
      <c r="W234" s="364"/>
      <c r="X234" s="382"/>
      <c r="Y234" s="364"/>
      <c r="Z234" s="382"/>
      <c r="AA234" s="364"/>
      <c r="AB234" s="364"/>
      <c r="AC234" s="364"/>
      <c r="AD234" s="382"/>
      <c r="AE234" s="364"/>
      <c r="AF234" s="382"/>
      <c r="AG234" s="364"/>
      <c r="AH234" s="382"/>
      <c r="AI234" s="364"/>
      <c r="AJ234" s="382"/>
      <c r="AK234" s="364"/>
      <c r="AL234" s="382"/>
      <c r="AM234" s="352"/>
    </row>
    <row r="235" spans="1:39" s="351" customFormat="1">
      <c r="A235" s="363"/>
      <c r="B235" s="363"/>
      <c r="C235" s="364"/>
      <c r="D235" s="364"/>
      <c r="E235" s="364"/>
      <c r="F235" s="364"/>
      <c r="G235" s="364"/>
      <c r="H235" s="382"/>
      <c r="I235" s="364"/>
      <c r="J235" s="382"/>
      <c r="K235" s="364"/>
      <c r="L235" s="364"/>
      <c r="M235" s="364"/>
      <c r="N235" s="382"/>
      <c r="O235" s="364"/>
      <c r="P235" s="364"/>
      <c r="Q235" s="364"/>
      <c r="R235" s="382"/>
      <c r="S235" s="364"/>
      <c r="T235" s="382"/>
      <c r="U235" s="364"/>
      <c r="V235" s="382"/>
      <c r="W235" s="364"/>
      <c r="X235" s="382"/>
      <c r="Y235" s="364"/>
      <c r="Z235" s="382"/>
      <c r="AA235" s="364"/>
      <c r="AB235" s="364"/>
      <c r="AC235" s="364"/>
      <c r="AD235" s="382"/>
      <c r="AE235" s="364"/>
      <c r="AF235" s="382"/>
      <c r="AG235" s="364"/>
      <c r="AH235" s="382"/>
      <c r="AI235" s="364"/>
      <c r="AJ235" s="382"/>
      <c r="AK235" s="364"/>
      <c r="AL235" s="382"/>
      <c r="AM235" s="352"/>
    </row>
    <row r="236" spans="1:39" s="351" customFormat="1">
      <c r="A236" s="363"/>
      <c r="B236" s="363"/>
      <c r="C236" s="364"/>
      <c r="D236" s="364"/>
      <c r="E236" s="364"/>
      <c r="F236" s="364"/>
      <c r="G236" s="364"/>
      <c r="H236" s="382"/>
      <c r="I236" s="364"/>
      <c r="J236" s="382"/>
      <c r="K236" s="364"/>
      <c r="L236" s="364"/>
      <c r="M236" s="364"/>
      <c r="N236" s="382"/>
      <c r="O236" s="364"/>
      <c r="P236" s="364"/>
      <c r="Q236" s="364"/>
      <c r="R236" s="382"/>
      <c r="S236" s="364"/>
      <c r="T236" s="382"/>
      <c r="U236" s="364"/>
      <c r="V236" s="382"/>
      <c r="W236" s="364"/>
      <c r="X236" s="382"/>
      <c r="Y236" s="364"/>
      <c r="Z236" s="382"/>
      <c r="AA236" s="364"/>
      <c r="AB236" s="364"/>
      <c r="AC236" s="364"/>
      <c r="AD236" s="382"/>
      <c r="AE236" s="364"/>
      <c r="AF236" s="382"/>
      <c r="AG236" s="364"/>
      <c r="AH236" s="382"/>
      <c r="AI236" s="364"/>
      <c r="AJ236" s="382"/>
      <c r="AK236" s="364"/>
      <c r="AL236" s="382"/>
      <c r="AM236" s="352"/>
    </row>
    <row r="237" spans="1:39" s="351" customFormat="1">
      <c r="A237" s="363"/>
      <c r="B237" s="363"/>
      <c r="C237" s="364"/>
      <c r="D237" s="364"/>
      <c r="E237" s="364"/>
      <c r="F237" s="364"/>
      <c r="G237" s="364"/>
      <c r="H237" s="382"/>
      <c r="I237" s="364"/>
      <c r="J237" s="382"/>
      <c r="K237" s="364"/>
      <c r="L237" s="364"/>
      <c r="M237" s="364"/>
      <c r="N237" s="382"/>
      <c r="O237" s="364"/>
      <c r="P237" s="364"/>
      <c r="Q237" s="364"/>
      <c r="R237" s="382"/>
      <c r="S237" s="364"/>
      <c r="T237" s="382"/>
      <c r="U237" s="364"/>
      <c r="V237" s="382"/>
      <c r="W237" s="364"/>
      <c r="X237" s="382"/>
      <c r="Y237" s="364"/>
      <c r="Z237" s="382"/>
      <c r="AA237" s="364"/>
      <c r="AB237" s="364"/>
      <c r="AC237" s="364"/>
      <c r="AD237" s="382"/>
      <c r="AE237" s="364"/>
      <c r="AF237" s="382"/>
      <c r="AG237" s="364"/>
      <c r="AH237" s="382"/>
      <c r="AI237" s="364"/>
      <c r="AJ237" s="382"/>
      <c r="AK237" s="364"/>
      <c r="AL237" s="382"/>
      <c r="AM237" s="352"/>
    </row>
    <row r="238" spans="1:39" s="351" customFormat="1">
      <c r="A238" s="363"/>
      <c r="B238" s="363"/>
      <c r="C238" s="364"/>
      <c r="D238" s="364"/>
      <c r="E238" s="364"/>
      <c r="F238" s="364"/>
      <c r="G238" s="364"/>
      <c r="H238" s="382"/>
      <c r="I238" s="364"/>
      <c r="J238" s="382"/>
      <c r="K238" s="364"/>
      <c r="L238" s="364"/>
      <c r="M238" s="364"/>
      <c r="N238" s="382"/>
      <c r="O238" s="364"/>
      <c r="P238" s="364"/>
      <c r="Q238" s="364"/>
      <c r="R238" s="382"/>
      <c r="S238" s="364"/>
      <c r="T238" s="382"/>
      <c r="U238" s="364"/>
      <c r="V238" s="382"/>
      <c r="W238" s="364"/>
      <c r="X238" s="382"/>
      <c r="Y238" s="364"/>
      <c r="Z238" s="382"/>
      <c r="AA238" s="364"/>
      <c r="AB238" s="364"/>
      <c r="AC238" s="364"/>
      <c r="AD238" s="382"/>
      <c r="AE238" s="364"/>
      <c r="AF238" s="382"/>
      <c r="AG238" s="364"/>
      <c r="AH238" s="382"/>
      <c r="AI238" s="364"/>
      <c r="AJ238" s="382"/>
      <c r="AK238" s="364"/>
      <c r="AL238" s="382"/>
      <c r="AM238" s="352"/>
    </row>
    <row r="239" spans="1:39" s="351" customFormat="1">
      <c r="A239" s="363"/>
      <c r="B239" s="363"/>
      <c r="C239" s="364"/>
      <c r="D239" s="364"/>
      <c r="E239" s="364"/>
      <c r="F239" s="364"/>
      <c r="G239" s="364"/>
      <c r="H239" s="382"/>
      <c r="I239" s="364"/>
      <c r="J239" s="382"/>
      <c r="K239" s="364"/>
      <c r="L239" s="364"/>
      <c r="M239" s="364"/>
      <c r="N239" s="382"/>
      <c r="O239" s="364"/>
      <c r="P239" s="364"/>
      <c r="Q239" s="364"/>
      <c r="R239" s="382"/>
      <c r="S239" s="364"/>
      <c r="T239" s="382"/>
      <c r="U239" s="364"/>
      <c r="V239" s="382"/>
      <c r="W239" s="364"/>
      <c r="X239" s="382"/>
      <c r="Y239" s="364"/>
      <c r="Z239" s="382"/>
      <c r="AA239" s="364"/>
      <c r="AB239" s="364"/>
      <c r="AC239" s="364"/>
      <c r="AD239" s="382"/>
      <c r="AE239" s="364"/>
      <c r="AF239" s="382"/>
      <c r="AG239" s="364"/>
      <c r="AH239" s="382"/>
      <c r="AI239" s="364"/>
      <c r="AJ239" s="382"/>
      <c r="AK239" s="364"/>
      <c r="AL239" s="382"/>
      <c r="AM239" s="352"/>
    </row>
    <row r="240" spans="1:39" s="351" customFormat="1">
      <c r="A240" s="363"/>
      <c r="B240" s="363"/>
      <c r="C240" s="364"/>
      <c r="D240" s="364"/>
      <c r="E240" s="364"/>
      <c r="F240" s="364"/>
      <c r="G240" s="364"/>
      <c r="H240" s="382"/>
      <c r="I240" s="364"/>
      <c r="J240" s="382"/>
      <c r="K240" s="364"/>
      <c r="L240" s="364"/>
      <c r="M240" s="364"/>
      <c r="N240" s="382"/>
      <c r="O240" s="364"/>
      <c r="P240" s="364"/>
      <c r="Q240" s="364"/>
      <c r="R240" s="382"/>
      <c r="S240" s="364"/>
      <c r="T240" s="382"/>
      <c r="U240" s="364"/>
      <c r="V240" s="382"/>
      <c r="W240" s="364"/>
      <c r="X240" s="382"/>
      <c r="Y240" s="364"/>
      <c r="Z240" s="382"/>
      <c r="AA240" s="364"/>
      <c r="AB240" s="364"/>
      <c r="AC240" s="364"/>
      <c r="AD240" s="382"/>
      <c r="AE240" s="364"/>
      <c r="AF240" s="382"/>
      <c r="AG240" s="364"/>
      <c r="AH240" s="382"/>
      <c r="AI240" s="364"/>
      <c r="AJ240" s="382"/>
      <c r="AK240" s="364"/>
      <c r="AL240" s="382"/>
      <c r="AM240" s="352"/>
    </row>
    <row r="241" spans="1:39" s="351" customFormat="1">
      <c r="A241" s="363"/>
      <c r="B241" s="363"/>
      <c r="C241" s="364"/>
      <c r="D241" s="364"/>
      <c r="E241" s="364"/>
      <c r="F241" s="364"/>
      <c r="G241" s="364"/>
      <c r="H241" s="382"/>
      <c r="I241" s="364"/>
      <c r="J241" s="382"/>
      <c r="K241" s="364"/>
      <c r="L241" s="364"/>
      <c r="M241" s="364"/>
      <c r="N241" s="382"/>
      <c r="O241" s="364"/>
      <c r="P241" s="364"/>
      <c r="Q241" s="364"/>
      <c r="R241" s="382"/>
      <c r="S241" s="364"/>
      <c r="T241" s="382"/>
      <c r="U241" s="364"/>
      <c r="V241" s="382"/>
      <c r="W241" s="364"/>
      <c r="X241" s="382"/>
      <c r="Y241" s="364"/>
      <c r="Z241" s="382"/>
      <c r="AA241" s="364"/>
      <c r="AB241" s="364"/>
      <c r="AC241" s="364"/>
      <c r="AD241" s="382"/>
      <c r="AE241" s="364"/>
      <c r="AF241" s="382"/>
      <c r="AG241" s="364"/>
      <c r="AH241" s="382"/>
      <c r="AI241" s="364"/>
      <c r="AJ241" s="382"/>
      <c r="AK241" s="364"/>
      <c r="AL241" s="382"/>
      <c r="AM241" s="352"/>
    </row>
    <row r="242" spans="1:39" s="351" customFormat="1">
      <c r="A242" s="363"/>
      <c r="B242" s="363"/>
      <c r="C242" s="364"/>
      <c r="D242" s="364"/>
      <c r="E242" s="364"/>
      <c r="F242" s="364"/>
      <c r="G242" s="364"/>
      <c r="H242" s="382"/>
      <c r="I242" s="364"/>
      <c r="J242" s="382"/>
      <c r="K242" s="364"/>
      <c r="L242" s="364"/>
      <c r="M242" s="364"/>
      <c r="N242" s="382"/>
      <c r="O242" s="364"/>
      <c r="P242" s="364"/>
      <c r="Q242" s="364"/>
      <c r="R242" s="382"/>
      <c r="S242" s="364"/>
      <c r="T242" s="382"/>
      <c r="U242" s="364"/>
      <c r="V242" s="382"/>
      <c r="W242" s="364"/>
      <c r="X242" s="382"/>
      <c r="Y242" s="364"/>
      <c r="Z242" s="382"/>
      <c r="AA242" s="364"/>
      <c r="AB242" s="364"/>
      <c r="AC242" s="364"/>
      <c r="AD242" s="382"/>
      <c r="AE242" s="364"/>
      <c r="AF242" s="382"/>
      <c r="AG242" s="364"/>
      <c r="AH242" s="382"/>
      <c r="AI242" s="364"/>
      <c r="AJ242" s="382"/>
      <c r="AK242" s="364"/>
      <c r="AL242" s="382"/>
      <c r="AM242" s="352"/>
    </row>
    <row r="243" spans="1:39" s="351" customFormat="1">
      <c r="A243" s="363"/>
      <c r="B243" s="363"/>
      <c r="C243" s="364"/>
      <c r="D243" s="364"/>
      <c r="E243" s="364"/>
      <c r="F243" s="364"/>
      <c r="G243" s="364"/>
      <c r="H243" s="382"/>
      <c r="I243" s="364"/>
      <c r="J243" s="382"/>
      <c r="K243" s="364"/>
      <c r="L243" s="364"/>
      <c r="M243" s="364"/>
      <c r="N243" s="382"/>
      <c r="O243" s="364"/>
      <c r="P243" s="364"/>
      <c r="Q243" s="364"/>
      <c r="R243" s="382"/>
      <c r="S243" s="364"/>
      <c r="T243" s="382"/>
      <c r="U243" s="364"/>
      <c r="V243" s="382"/>
      <c r="W243" s="364"/>
      <c r="X243" s="382"/>
      <c r="Y243" s="364"/>
      <c r="Z243" s="382"/>
      <c r="AA243" s="364"/>
      <c r="AB243" s="364"/>
      <c r="AC243" s="364"/>
      <c r="AD243" s="382"/>
      <c r="AE243" s="364"/>
      <c r="AF243" s="382"/>
      <c r="AG243" s="364"/>
      <c r="AH243" s="382"/>
      <c r="AI243" s="364"/>
      <c r="AJ243" s="382"/>
      <c r="AK243" s="364"/>
      <c r="AL243" s="382"/>
      <c r="AM243" s="352"/>
    </row>
    <row r="244" spans="1:39" s="351" customFormat="1">
      <c r="A244" s="363"/>
      <c r="B244" s="363"/>
      <c r="C244" s="364"/>
      <c r="D244" s="364"/>
      <c r="E244" s="364"/>
      <c r="F244" s="364"/>
      <c r="G244" s="364"/>
      <c r="H244" s="382"/>
      <c r="I244" s="364"/>
      <c r="J244" s="382"/>
      <c r="K244" s="364"/>
      <c r="L244" s="364"/>
      <c r="M244" s="364"/>
      <c r="N244" s="382"/>
      <c r="O244" s="364"/>
      <c r="P244" s="364"/>
      <c r="Q244" s="364"/>
      <c r="R244" s="382"/>
      <c r="S244" s="364"/>
      <c r="T244" s="382"/>
      <c r="U244" s="364"/>
      <c r="V244" s="382"/>
      <c r="W244" s="364"/>
      <c r="X244" s="382"/>
      <c r="Y244" s="364"/>
      <c r="Z244" s="382"/>
      <c r="AA244" s="364"/>
      <c r="AB244" s="364"/>
      <c r="AC244" s="364"/>
      <c r="AD244" s="382"/>
      <c r="AE244" s="364"/>
      <c r="AF244" s="382"/>
      <c r="AG244" s="364"/>
      <c r="AH244" s="382"/>
      <c r="AI244" s="364"/>
      <c r="AJ244" s="382"/>
      <c r="AK244" s="364"/>
      <c r="AL244" s="382"/>
      <c r="AM244" s="352"/>
    </row>
    <row r="245" spans="1:39" s="351" customFormat="1">
      <c r="A245" s="363"/>
      <c r="B245" s="363"/>
      <c r="C245" s="364"/>
      <c r="D245" s="364"/>
      <c r="E245" s="364"/>
      <c r="F245" s="364"/>
      <c r="G245" s="364"/>
      <c r="H245" s="382"/>
      <c r="I245" s="364"/>
      <c r="J245" s="382"/>
      <c r="K245" s="364"/>
      <c r="L245" s="364"/>
      <c r="M245" s="364"/>
      <c r="N245" s="382"/>
      <c r="O245" s="364"/>
      <c r="P245" s="364"/>
      <c r="Q245" s="364"/>
      <c r="R245" s="382"/>
      <c r="S245" s="364"/>
      <c r="T245" s="382"/>
      <c r="U245" s="364"/>
      <c r="V245" s="382"/>
      <c r="W245" s="364"/>
      <c r="X245" s="382"/>
      <c r="Y245" s="364"/>
      <c r="Z245" s="382"/>
      <c r="AA245" s="364"/>
      <c r="AB245" s="364"/>
      <c r="AC245" s="364"/>
      <c r="AD245" s="382"/>
      <c r="AE245" s="364"/>
      <c r="AF245" s="382"/>
      <c r="AG245" s="364"/>
      <c r="AH245" s="382"/>
      <c r="AI245" s="364"/>
      <c r="AJ245" s="382"/>
      <c r="AK245" s="364"/>
      <c r="AL245" s="382"/>
      <c r="AM245" s="352"/>
    </row>
    <row r="246" spans="1:39" s="351" customFormat="1">
      <c r="A246" s="363"/>
      <c r="B246" s="363"/>
      <c r="C246" s="364"/>
      <c r="D246" s="364"/>
      <c r="E246" s="364"/>
      <c r="F246" s="364"/>
      <c r="G246" s="364"/>
      <c r="H246" s="382"/>
      <c r="I246" s="364"/>
      <c r="J246" s="382"/>
      <c r="K246" s="364"/>
      <c r="L246" s="364"/>
      <c r="M246" s="364"/>
      <c r="N246" s="382"/>
      <c r="O246" s="364"/>
      <c r="P246" s="364"/>
      <c r="Q246" s="364"/>
      <c r="R246" s="382"/>
      <c r="S246" s="364"/>
      <c r="T246" s="382"/>
      <c r="U246" s="364"/>
      <c r="V246" s="382"/>
      <c r="W246" s="364"/>
      <c r="X246" s="382"/>
      <c r="Y246" s="364"/>
      <c r="Z246" s="382"/>
      <c r="AA246" s="364"/>
      <c r="AB246" s="364"/>
      <c r="AC246" s="364"/>
      <c r="AD246" s="382"/>
      <c r="AE246" s="364"/>
      <c r="AF246" s="382"/>
      <c r="AG246" s="364"/>
      <c r="AH246" s="382"/>
      <c r="AI246" s="364"/>
      <c r="AJ246" s="382"/>
      <c r="AK246" s="364"/>
      <c r="AL246" s="382"/>
      <c r="AM246" s="352"/>
    </row>
    <row r="247" spans="1:39" s="351" customFormat="1">
      <c r="A247" s="363"/>
      <c r="B247" s="363"/>
      <c r="C247" s="364"/>
      <c r="D247" s="364"/>
      <c r="E247" s="364"/>
      <c r="F247" s="364"/>
      <c r="G247" s="364"/>
      <c r="H247" s="382"/>
      <c r="I247" s="364"/>
      <c r="J247" s="382"/>
      <c r="K247" s="364"/>
      <c r="L247" s="364"/>
      <c r="M247" s="364"/>
      <c r="N247" s="382"/>
      <c r="O247" s="364"/>
      <c r="P247" s="364"/>
      <c r="Q247" s="364"/>
      <c r="R247" s="382"/>
      <c r="S247" s="364"/>
      <c r="T247" s="382"/>
      <c r="U247" s="364"/>
      <c r="V247" s="382"/>
      <c r="W247" s="364"/>
      <c r="X247" s="382"/>
      <c r="Y247" s="364"/>
      <c r="Z247" s="382"/>
      <c r="AA247" s="364"/>
      <c r="AB247" s="364"/>
      <c r="AC247" s="364"/>
      <c r="AD247" s="382"/>
      <c r="AE247" s="364"/>
      <c r="AF247" s="382"/>
      <c r="AG247" s="364"/>
      <c r="AH247" s="382"/>
      <c r="AI247" s="364"/>
      <c r="AJ247" s="382"/>
      <c r="AK247" s="364"/>
      <c r="AL247" s="382"/>
      <c r="AM247" s="352"/>
    </row>
    <row r="248" spans="1:39" s="351" customFormat="1">
      <c r="A248" s="363"/>
      <c r="B248" s="363"/>
      <c r="C248" s="364"/>
      <c r="D248" s="364"/>
      <c r="E248" s="364"/>
      <c r="F248" s="364"/>
      <c r="G248" s="364"/>
      <c r="H248" s="382"/>
      <c r="I248" s="364"/>
      <c r="J248" s="382"/>
      <c r="K248" s="364"/>
      <c r="L248" s="364"/>
      <c r="M248" s="364"/>
      <c r="N248" s="382"/>
      <c r="O248" s="364"/>
      <c r="P248" s="364"/>
      <c r="Q248" s="364"/>
      <c r="R248" s="382"/>
      <c r="S248" s="364"/>
      <c r="T248" s="382"/>
      <c r="U248" s="364"/>
      <c r="V248" s="382"/>
      <c r="W248" s="364"/>
      <c r="X248" s="382"/>
      <c r="Y248" s="364"/>
      <c r="Z248" s="382"/>
      <c r="AA248" s="364"/>
      <c r="AB248" s="364"/>
      <c r="AC248" s="364"/>
      <c r="AD248" s="382"/>
      <c r="AE248" s="364"/>
      <c r="AF248" s="382"/>
      <c r="AG248" s="364"/>
      <c r="AH248" s="382"/>
      <c r="AI248" s="364"/>
      <c r="AJ248" s="382"/>
      <c r="AK248" s="364"/>
      <c r="AL248" s="382"/>
      <c r="AM248" s="352"/>
    </row>
    <row r="249" spans="1:39" s="351" customFormat="1">
      <c r="A249" s="363"/>
      <c r="B249" s="363"/>
      <c r="C249" s="364"/>
      <c r="D249" s="364"/>
      <c r="E249" s="364"/>
      <c r="F249" s="364"/>
      <c r="G249" s="364"/>
      <c r="H249" s="382"/>
      <c r="I249" s="364"/>
      <c r="J249" s="382"/>
      <c r="K249" s="364"/>
      <c r="L249" s="364"/>
      <c r="M249" s="364"/>
      <c r="N249" s="382"/>
      <c r="O249" s="364"/>
      <c r="P249" s="364"/>
      <c r="Q249" s="364"/>
      <c r="R249" s="382"/>
      <c r="S249" s="364"/>
      <c r="T249" s="382"/>
      <c r="U249" s="364"/>
      <c r="V249" s="382"/>
      <c r="W249" s="364"/>
      <c r="X249" s="382"/>
      <c r="Y249" s="364"/>
      <c r="Z249" s="382"/>
      <c r="AA249" s="364"/>
      <c r="AB249" s="364"/>
      <c r="AC249" s="364"/>
      <c r="AD249" s="382"/>
      <c r="AE249" s="364"/>
      <c r="AF249" s="382"/>
      <c r="AG249" s="364"/>
      <c r="AH249" s="382"/>
      <c r="AI249" s="364"/>
      <c r="AJ249" s="382"/>
      <c r="AK249" s="364"/>
      <c r="AL249" s="382"/>
      <c r="AM249" s="352"/>
    </row>
    <row r="250" spans="1:39" s="351" customFormat="1">
      <c r="A250" s="363"/>
      <c r="B250" s="363"/>
      <c r="C250" s="364"/>
      <c r="D250" s="364"/>
      <c r="E250" s="364"/>
      <c r="F250" s="364"/>
      <c r="G250" s="364"/>
      <c r="H250" s="382"/>
      <c r="I250" s="364"/>
      <c r="J250" s="382"/>
      <c r="K250" s="364"/>
      <c r="L250" s="364"/>
      <c r="M250" s="364"/>
      <c r="N250" s="382"/>
      <c r="O250" s="364"/>
      <c r="P250" s="364"/>
      <c r="Q250" s="364"/>
      <c r="R250" s="382"/>
      <c r="S250" s="364"/>
      <c r="T250" s="382"/>
      <c r="U250" s="364"/>
      <c r="V250" s="382"/>
      <c r="W250" s="364"/>
      <c r="X250" s="382"/>
      <c r="Y250" s="364"/>
      <c r="Z250" s="382"/>
      <c r="AA250" s="364"/>
      <c r="AB250" s="364"/>
      <c r="AC250" s="364"/>
      <c r="AD250" s="382"/>
      <c r="AE250" s="364"/>
      <c r="AF250" s="382"/>
      <c r="AG250" s="364"/>
      <c r="AH250" s="382"/>
      <c r="AI250" s="364"/>
      <c r="AJ250" s="382"/>
      <c r="AK250" s="364"/>
      <c r="AL250" s="382"/>
      <c r="AM250" s="352"/>
    </row>
    <row r="251" spans="1:39" s="351" customFormat="1">
      <c r="A251" s="363"/>
      <c r="B251" s="363"/>
      <c r="C251" s="364"/>
      <c r="D251" s="364"/>
      <c r="E251" s="364"/>
      <c r="F251" s="364"/>
      <c r="G251" s="364"/>
      <c r="H251" s="382"/>
      <c r="I251" s="364"/>
      <c r="J251" s="382"/>
      <c r="K251" s="364"/>
      <c r="L251" s="364"/>
      <c r="M251" s="364"/>
      <c r="N251" s="382"/>
      <c r="O251" s="364"/>
      <c r="P251" s="364"/>
      <c r="Q251" s="364"/>
      <c r="R251" s="382"/>
      <c r="S251" s="364"/>
      <c r="T251" s="382"/>
      <c r="U251" s="364"/>
      <c r="V251" s="382"/>
      <c r="W251" s="364"/>
      <c r="X251" s="382"/>
      <c r="Y251" s="364"/>
      <c r="Z251" s="382"/>
      <c r="AA251" s="364"/>
      <c r="AB251" s="364"/>
      <c r="AC251" s="364"/>
      <c r="AD251" s="382"/>
      <c r="AE251" s="364"/>
      <c r="AF251" s="382"/>
      <c r="AG251" s="364"/>
      <c r="AH251" s="382"/>
      <c r="AI251" s="364"/>
      <c r="AJ251" s="382"/>
      <c r="AK251" s="364"/>
      <c r="AL251" s="382"/>
      <c r="AM251" s="352"/>
    </row>
    <row r="252" spans="1:39" s="351" customFormat="1">
      <c r="A252" s="363"/>
      <c r="B252" s="363"/>
      <c r="C252" s="364"/>
      <c r="D252" s="364"/>
      <c r="E252" s="364"/>
      <c r="F252" s="364"/>
      <c r="G252" s="364"/>
      <c r="H252" s="382"/>
      <c r="I252" s="364"/>
      <c r="J252" s="382"/>
      <c r="K252" s="364"/>
      <c r="L252" s="364"/>
      <c r="M252" s="364"/>
      <c r="N252" s="382"/>
      <c r="O252" s="364"/>
      <c r="P252" s="364"/>
      <c r="Q252" s="364"/>
      <c r="R252" s="382"/>
      <c r="S252" s="364"/>
      <c r="T252" s="382"/>
      <c r="U252" s="364"/>
      <c r="V252" s="382"/>
      <c r="W252" s="364"/>
      <c r="X252" s="382"/>
      <c r="Y252" s="364"/>
      <c r="Z252" s="382"/>
      <c r="AA252" s="364"/>
      <c r="AB252" s="364"/>
      <c r="AC252" s="364"/>
      <c r="AD252" s="382"/>
      <c r="AE252" s="364"/>
      <c r="AF252" s="382"/>
      <c r="AG252" s="364"/>
      <c r="AH252" s="382"/>
      <c r="AI252" s="364"/>
      <c r="AJ252" s="382"/>
      <c r="AK252" s="364"/>
      <c r="AL252" s="382"/>
      <c r="AM252" s="352"/>
    </row>
    <row r="253" spans="1:39" s="351" customFormat="1">
      <c r="A253" s="363"/>
      <c r="B253" s="363"/>
      <c r="C253" s="364"/>
      <c r="D253" s="364"/>
      <c r="E253" s="364"/>
      <c r="F253" s="364"/>
      <c r="G253" s="364"/>
      <c r="H253" s="382"/>
      <c r="I253" s="364"/>
      <c r="J253" s="382"/>
      <c r="K253" s="364"/>
      <c r="L253" s="364"/>
      <c r="M253" s="364"/>
      <c r="N253" s="382"/>
      <c r="O253" s="364"/>
      <c r="P253" s="364"/>
      <c r="Q253" s="364"/>
      <c r="R253" s="382"/>
      <c r="S253" s="364"/>
      <c r="T253" s="382"/>
      <c r="U253" s="364"/>
      <c r="V253" s="382"/>
      <c r="W253" s="364"/>
      <c r="X253" s="382"/>
      <c r="Y253" s="364"/>
      <c r="Z253" s="382"/>
      <c r="AA253" s="364"/>
      <c r="AB253" s="364"/>
      <c r="AC253" s="364"/>
      <c r="AD253" s="382"/>
      <c r="AE253" s="364"/>
      <c r="AF253" s="382"/>
      <c r="AG253" s="364"/>
      <c r="AH253" s="382"/>
      <c r="AI253" s="364"/>
      <c r="AJ253" s="382"/>
      <c r="AK253" s="364"/>
      <c r="AL253" s="382"/>
      <c r="AM253" s="352"/>
    </row>
    <row r="254" spans="1:39" s="351" customFormat="1">
      <c r="A254" s="363"/>
      <c r="B254" s="363"/>
      <c r="C254" s="364"/>
      <c r="D254" s="364"/>
      <c r="E254" s="364"/>
      <c r="F254" s="364"/>
      <c r="G254" s="364"/>
      <c r="H254" s="382"/>
      <c r="I254" s="364"/>
      <c r="J254" s="382"/>
      <c r="K254" s="364"/>
      <c r="L254" s="364"/>
      <c r="M254" s="364"/>
      <c r="N254" s="382"/>
      <c r="O254" s="364"/>
      <c r="P254" s="364"/>
      <c r="Q254" s="364"/>
      <c r="R254" s="382"/>
      <c r="S254" s="364"/>
      <c r="T254" s="382"/>
      <c r="U254" s="364"/>
      <c r="V254" s="382"/>
      <c r="W254" s="364"/>
      <c r="X254" s="382"/>
      <c r="Y254" s="364"/>
      <c r="Z254" s="382"/>
      <c r="AA254" s="364"/>
      <c r="AB254" s="364"/>
      <c r="AC254" s="364"/>
      <c r="AD254" s="382"/>
      <c r="AE254" s="364"/>
      <c r="AF254" s="382"/>
      <c r="AG254" s="364"/>
      <c r="AH254" s="382"/>
      <c r="AI254" s="364"/>
      <c r="AJ254" s="382"/>
      <c r="AK254" s="364"/>
      <c r="AL254" s="382"/>
      <c r="AM254" s="352"/>
    </row>
    <row r="255" spans="1:39" s="351" customFormat="1">
      <c r="A255" s="363"/>
      <c r="B255" s="363"/>
      <c r="C255" s="364"/>
      <c r="D255" s="364"/>
      <c r="E255" s="364"/>
      <c r="F255" s="364"/>
      <c r="G255" s="364"/>
      <c r="H255" s="382"/>
      <c r="I255" s="364"/>
      <c r="J255" s="382"/>
      <c r="K255" s="364"/>
      <c r="L255" s="364"/>
      <c r="M255" s="364"/>
      <c r="N255" s="382"/>
      <c r="O255" s="364"/>
      <c r="P255" s="364"/>
      <c r="Q255" s="364"/>
      <c r="R255" s="382"/>
      <c r="S255" s="364"/>
      <c r="T255" s="382"/>
      <c r="U255" s="364"/>
      <c r="V255" s="382"/>
      <c r="W255" s="364"/>
      <c r="X255" s="382"/>
      <c r="Y255" s="364"/>
      <c r="Z255" s="382"/>
      <c r="AA255" s="364"/>
      <c r="AB255" s="364"/>
      <c r="AC255" s="364"/>
      <c r="AD255" s="382"/>
      <c r="AE255" s="364"/>
      <c r="AF255" s="382"/>
      <c r="AG255" s="364"/>
      <c r="AH255" s="382"/>
      <c r="AI255" s="364"/>
      <c r="AJ255" s="382"/>
      <c r="AK255" s="364"/>
      <c r="AL255" s="382"/>
      <c r="AM255" s="352"/>
    </row>
    <row r="256" spans="1:39" s="351" customFormat="1">
      <c r="A256" s="363"/>
      <c r="B256" s="363"/>
      <c r="C256" s="364"/>
      <c r="D256" s="364"/>
      <c r="E256" s="364"/>
      <c r="F256" s="364"/>
      <c r="G256" s="364"/>
      <c r="H256" s="382"/>
      <c r="I256" s="364"/>
      <c r="J256" s="382"/>
      <c r="K256" s="364"/>
      <c r="L256" s="364"/>
      <c r="M256" s="364"/>
      <c r="N256" s="382"/>
      <c r="O256" s="364"/>
      <c r="P256" s="364"/>
      <c r="Q256" s="364"/>
      <c r="R256" s="382"/>
      <c r="S256" s="364"/>
      <c r="T256" s="382"/>
      <c r="U256" s="364"/>
      <c r="V256" s="382"/>
      <c r="W256" s="364"/>
      <c r="X256" s="382"/>
      <c r="Y256" s="364"/>
      <c r="Z256" s="382"/>
      <c r="AA256" s="364"/>
      <c r="AB256" s="364"/>
      <c r="AC256" s="364"/>
      <c r="AD256" s="382"/>
      <c r="AE256" s="364"/>
      <c r="AF256" s="382"/>
      <c r="AG256" s="364"/>
      <c r="AH256" s="382"/>
      <c r="AI256" s="364"/>
      <c r="AJ256" s="382"/>
      <c r="AK256" s="364"/>
      <c r="AL256" s="382"/>
      <c r="AM256" s="352"/>
    </row>
    <row r="257" spans="1:39" s="351" customFormat="1">
      <c r="A257" s="363"/>
      <c r="B257" s="363"/>
      <c r="C257" s="364"/>
      <c r="D257" s="364"/>
      <c r="E257" s="364"/>
      <c r="F257" s="364"/>
      <c r="G257" s="364"/>
      <c r="H257" s="382"/>
      <c r="I257" s="364"/>
      <c r="J257" s="382"/>
      <c r="K257" s="364"/>
      <c r="L257" s="364"/>
      <c r="M257" s="364"/>
      <c r="N257" s="382"/>
      <c r="O257" s="364"/>
      <c r="P257" s="364"/>
      <c r="Q257" s="364"/>
      <c r="R257" s="382"/>
      <c r="S257" s="364"/>
      <c r="T257" s="382"/>
      <c r="U257" s="364"/>
      <c r="V257" s="382"/>
      <c r="W257" s="364"/>
      <c r="X257" s="382"/>
      <c r="Y257" s="364"/>
      <c r="Z257" s="382"/>
      <c r="AA257" s="364"/>
      <c r="AB257" s="364"/>
      <c r="AC257" s="364"/>
      <c r="AD257" s="382"/>
      <c r="AE257" s="364"/>
      <c r="AF257" s="382"/>
      <c r="AG257" s="364"/>
      <c r="AH257" s="382"/>
      <c r="AI257" s="364"/>
      <c r="AJ257" s="382"/>
      <c r="AK257" s="364"/>
      <c r="AL257" s="382"/>
      <c r="AM257" s="352"/>
    </row>
    <row r="258" spans="1:39" s="351" customFormat="1">
      <c r="A258" s="363"/>
      <c r="B258" s="363"/>
      <c r="C258" s="364"/>
      <c r="D258" s="364"/>
      <c r="E258" s="364"/>
      <c r="F258" s="364"/>
      <c r="G258" s="364"/>
      <c r="H258" s="382"/>
      <c r="I258" s="364"/>
      <c r="J258" s="382"/>
      <c r="K258" s="364"/>
      <c r="L258" s="364"/>
      <c r="M258" s="364"/>
      <c r="N258" s="382"/>
      <c r="O258" s="364"/>
      <c r="P258" s="364"/>
      <c r="Q258" s="364"/>
      <c r="R258" s="382"/>
      <c r="S258" s="364"/>
      <c r="T258" s="382"/>
      <c r="U258" s="364"/>
      <c r="V258" s="382"/>
      <c r="W258" s="364"/>
      <c r="X258" s="382"/>
      <c r="Y258" s="364"/>
      <c r="Z258" s="382"/>
      <c r="AA258" s="364"/>
      <c r="AB258" s="364"/>
      <c r="AC258" s="364"/>
      <c r="AD258" s="382"/>
      <c r="AE258" s="364"/>
      <c r="AF258" s="382"/>
      <c r="AG258" s="364"/>
      <c r="AH258" s="382"/>
      <c r="AI258" s="364"/>
      <c r="AJ258" s="382"/>
      <c r="AK258" s="364"/>
      <c r="AL258" s="382"/>
      <c r="AM258" s="352"/>
    </row>
    <row r="259" spans="1:39" s="351" customFormat="1">
      <c r="A259" s="363"/>
      <c r="B259" s="363"/>
      <c r="C259" s="364"/>
      <c r="D259" s="364"/>
      <c r="E259" s="364"/>
      <c r="F259" s="364"/>
      <c r="G259" s="364"/>
      <c r="H259" s="382"/>
      <c r="I259" s="364"/>
      <c r="J259" s="382"/>
      <c r="K259" s="364"/>
      <c r="L259" s="364"/>
      <c r="M259" s="364"/>
      <c r="N259" s="382"/>
      <c r="O259" s="364"/>
      <c r="P259" s="364"/>
      <c r="Q259" s="364"/>
      <c r="R259" s="382"/>
      <c r="S259" s="364"/>
      <c r="T259" s="382"/>
      <c r="U259" s="364"/>
      <c r="V259" s="382"/>
      <c r="W259" s="364"/>
      <c r="X259" s="382"/>
      <c r="Y259" s="364"/>
      <c r="Z259" s="382"/>
      <c r="AA259" s="364"/>
      <c r="AB259" s="364"/>
      <c r="AC259" s="364"/>
      <c r="AD259" s="382"/>
      <c r="AE259" s="364"/>
      <c r="AF259" s="382"/>
      <c r="AG259" s="364"/>
      <c r="AH259" s="382"/>
      <c r="AI259" s="364"/>
      <c r="AJ259" s="382"/>
      <c r="AK259" s="364"/>
      <c r="AL259" s="382"/>
      <c r="AM259" s="352"/>
    </row>
    <row r="260" spans="1:39" s="351" customFormat="1">
      <c r="A260" s="363"/>
      <c r="B260" s="363"/>
      <c r="C260" s="364"/>
      <c r="D260" s="364"/>
      <c r="E260" s="364"/>
      <c r="F260" s="364"/>
      <c r="G260" s="364"/>
      <c r="H260" s="382"/>
      <c r="I260" s="364"/>
      <c r="J260" s="382"/>
      <c r="K260" s="364"/>
      <c r="L260" s="364"/>
      <c r="M260" s="364"/>
      <c r="N260" s="382"/>
      <c r="O260" s="364"/>
      <c r="P260" s="364"/>
      <c r="Q260" s="364"/>
      <c r="R260" s="382"/>
      <c r="S260" s="364"/>
      <c r="T260" s="382"/>
      <c r="U260" s="364"/>
      <c r="V260" s="382"/>
      <c r="W260" s="364"/>
      <c r="X260" s="382"/>
      <c r="Y260" s="364"/>
      <c r="Z260" s="382"/>
      <c r="AA260" s="364"/>
      <c r="AB260" s="364"/>
      <c r="AC260" s="364"/>
      <c r="AD260" s="382"/>
      <c r="AE260" s="364"/>
      <c r="AF260" s="382"/>
      <c r="AG260" s="364"/>
      <c r="AH260" s="382"/>
      <c r="AI260" s="364"/>
      <c r="AJ260" s="382"/>
      <c r="AK260" s="364"/>
      <c r="AL260" s="382"/>
      <c r="AM260" s="352"/>
    </row>
    <row r="261" spans="1:39" s="351" customFormat="1">
      <c r="A261" s="363"/>
      <c r="B261" s="363"/>
      <c r="C261" s="364"/>
      <c r="D261" s="364"/>
      <c r="E261" s="364"/>
      <c r="F261" s="364"/>
      <c r="G261" s="364"/>
      <c r="H261" s="382"/>
      <c r="I261" s="364"/>
      <c r="J261" s="382"/>
      <c r="K261" s="364"/>
      <c r="L261" s="364"/>
      <c r="M261" s="364"/>
      <c r="N261" s="382"/>
      <c r="O261" s="364"/>
      <c r="P261" s="364"/>
      <c r="Q261" s="364"/>
      <c r="R261" s="382"/>
      <c r="S261" s="364"/>
      <c r="T261" s="382"/>
      <c r="U261" s="364"/>
      <c r="V261" s="382"/>
      <c r="W261" s="364"/>
      <c r="X261" s="382"/>
      <c r="Y261" s="364"/>
      <c r="Z261" s="382"/>
      <c r="AA261" s="364"/>
      <c r="AB261" s="364"/>
      <c r="AC261" s="364"/>
      <c r="AD261" s="382"/>
      <c r="AE261" s="364"/>
      <c r="AF261" s="382"/>
      <c r="AG261" s="364"/>
      <c r="AH261" s="382"/>
      <c r="AI261" s="364"/>
      <c r="AJ261" s="382"/>
      <c r="AK261" s="364"/>
      <c r="AL261" s="382"/>
      <c r="AM261" s="352"/>
    </row>
    <row r="262" spans="1:39" s="351" customFormat="1">
      <c r="A262" s="363"/>
      <c r="B262" s="363"/>
      <c r="C262" s="364"/>
      <c r="D262" s="364"/>
      <c r="E262" s="364"/>
      <c r="F262" s="364"/>
      <c r="G262" s="364"/>
      <c r="H262" s="382"/>
      <c r="I262" s="364"/>
      <c r="J262" s="382"/>
      <c r="K262" s="364"/>
      <c r="L262" s="364"/>
      <c r="M262" s="364"/>
      <c r="N262" s="382"/>
      <c r="O262" s="364"/>
      <c r="P262" s="364"/>
      <c r="Q262" s="364"/>
      <c r="R262" s="382"/>
      <c r="S262" s="364"/>
      <c r="T262" s="382"/>
      <c r="U262" s="364"/>
      <c r="V262" s="382"/>
      <c r="W262" s="364"/>
      <c r="X262" s="382"/>
      <c r="Y262" s="364"/>
      <c r="Z262" s="382"/>
      <c r="AA262" s="364"/>
      <c r="AB262" s="364"/>
      <c r="AC262" s="364"/>
      <c r="AD262" s="382"/>
      <c r="AE262" s="364"/>
      <c r="AF262" s="382"/>
      <c r="AG262" s="364"/>
      <c r="AH262" s="382"/>
      <c r="AI262" s="364"/>
      <c r="AJ262" s="382"/>
      <c r="AK262" s="364"/>
      <c r="AL262" s="382"/>
      <c r="AM262" s="352"/>
    </row>
    <row r="263" spans="1:39" s="351" customFormat="1">
      <c r="A263" s="363"/>
      <c r="B263" s="363"/>
      <c r="C263" s="364"/>
      <c r="D263" s="364"/>
      <c r="E263" s="364"/>
      <c r="F263" s="364"/>
      <c r="G263" s="364"/>
      <c r="H263" s="382"/>
      <c r="I263" s="364"/>
      <c r="J263" s="382"/>
      <c r="K263" s="364"/>
      <c r="L263" s="364"/>
      <c r="M263" s="364"/>
      <c r="N263" s="382"/>
      <c r="O263" s="364"/>
      <c r="P263" s="364"/>
      <c r="Q263" s="364"/>
      <c r="R263" s="382"/>
      <c r="S263" s="364"/>
      <c r="T263" s="382"/>
      <c r="U263" s="364"/>
      <c r="V263" s="382"/>
      <c r="W263" s="364"/>
      <c r="X263" s="382"/>
      <c r="Y263" s="364"/>
      <c r="Z263" s="382"/>
      <c r="AA263" s="364"/>
      <c r="AB263" s="364"/>
      <c r="AC263" s="364"/>
      <c r="AD263" s="382"/>
      <c r="AE263" s="364"/>
      <c r="AF263" s="382"/>
      <c r="AG263" s="364"/>
      <c r="AH263" s="382"/>
      <c r="AI263" s="364"/>
      <c r="AJ263" s="382"/>
      <c r="AK263" s="364"/>
      <c r="AL263" s="382"/>
      <c r="AM263" s="352"/>
    </row>
    <row r="264" spans="1:39" s="351" customFormat="1">
      <c r="A264" s="363"/>
      <c r="B264" s="363"/>
      <c r="C264" s="364"/>
      <c r="D264" s="364"/>
      <c r="E264" s="364"/>
      <c r="F264" s="364"/>
      <c r="G264" s="364"/>
      <c r="H264" s="382"/>
      <c r="I264" s="364"/>
      <c r="J264" s="382"/>
      <c r="K264" s="364"/>
      <c r="L264" s="364"/>
      <c r="M264" s="364"/>
      <c r="N264" s="382"/>
      <c r="O264" s="364"/>
      <c r="P264" s="364"/>
      <c r="Q264" s="364"/>
      <c r="R264" s="382"/>
      <c r="S264" s="364"/>
      <c r="T264" s="382"/>
      <c r="U264" s="364"/>
      <c r="V264" s="382"/>
      <c r="W264" s="364"/>
      <c r="X264" s="382"/>
      <c r="Y264" s="364"/>
      <c r="Z264" s="382"/>
      <c r="AA264" s="364"/>
      <c r="AB264" s="364"/>
      <c r="AC264" s="364"/>
      <c r="AD264" s="382"/>
      <c r="AE264" s="364"/>
      <c r="AF264" s="382"/>
      <c r="AG264" s="364"/>
      <c r="AH264" s="382"/>
      <c r="AI264" s="364"/>
      <c r="AJ264" s="382"/>
      <c r="AK264" s="364"/>
      <c r="AL264" s="382"/>
      <c r="AM264" s="352"/>
    </row>
    <row r="265" spans="1:39" s="351" customFormat="1">
      <c r="A265" s="363"/>
      <c r="B265" s="363"/>
      <c r="C265" s="364"/>
      <c r="D265" s="364"/>
      <c r="E265" s="364"/>
      <c r="F265" s="364"/>
      <c r="G265" s="364"/>
      <c r="H265" s="382"/>
      <c r="I265" s="364"/>
      <c r="J265" s="382"/>
      <c r="K265" s="364"/>
      <c r="L265" s="364"/>
      <c r="M265" s="364"/>
      <c r="N265" s="382"/>
      <c r="O265" s="364"/>
      <c r="P265" s="364"/>
      <c r="Q265" s="364"/>
      <c r="R265" s="382"/>
      <c r="S265" s="364"/>
      <c r="T265" s="382"/>
      <c r="U265" s="364"/>
      <c r="V265" s="382"/>
      <c r="W265" s="364"/>
      <c r="X265" s="382"/>
      <c r="Y265" s="364"/>
      <c r="Z265" s="382"/>
      <c r="AA265" s="364"/>
      <c r="AB265" s="364"/>
      <c r="AC265" s="364"/>
      <c r="AD265" s="382"/>
      <c r="AE265" s="364"/>
      <c r="AF265" s="382"/>
      <c r="AG265" s="364"/>
      <c r="AH265" s="382"/>
      <c r="AI265" s="364"/>
      <c r="AJ265" s="382"/>
      <c r="AK265" s="364"/>
      <c r="AL265" s="382"/>
      <c r="AM265" s="352"/>
    </row>
    <row r="266" spans="1:39" s="351" customFormat="1">
      <c r="A266" s="363"/>
      <c r="B266" s="363"/>
      <c r="C266" s="364"/>
      <c r="D266" s="364"/>
      <c r="E266" s="364"/>
      <c r="F266" s="364"/>
      <c r="G266" s="364"/>
      <c r="H266" s="382"/>
      <c r="I266" s="364"/>
      <c r="J266" s="382"/>
      <c r="K266" s="364"/>
      <c r="L266" s="364"/>
      <c r="M266" s="364"/>
      <c r="N266" s="382"/>
      <c r="O266" s="364"/>
      <c r="P266" s="364"/>
      <c r="Q266" s="364"/>
      <c r="R266" s="382"/>
      <c r="S266" s="364"/>
      <c r="T266" s="382"/>
      <c r="U266" s="364"/>
      <c r="V266" s="382"/>
      <c r="W266" s="364"/>
      <c r="X266" s="382"/>
      <c r="Y266" s="364"/>
      <c r="Z266" s="382"/>
      <c r="AA266" s="364"/>
      <c r="AB266" s="364"/>
      <c r="AC266" s="364"/>
      <c r="AD266" s="382"/>
      <c r="AE266" s="364"/>
      <c r="AF266" s="382"/>
      <c r="AG266" s="364"/>
      <c r="AH266" s="382"/>
      <c r="AI266" s="364"/>
      <c r="AJ266" s="382"/>
      <c r="AK266" s="364"/>
      <c r="AL266" s="382"/>
      <c r="AM266" s="352"/>
    </row>
    <row r="267" spans="1:39" s="351" customFormat="1">
      <c r="A267" s="363"/>
      <c r="B267" s="363"/>
      <c r="C267" s="364"/>
      <c r="D267" s="364"/>
      <c r="E267" s="364"/>
      <c r="F267" s="364"/>
      <c r="G267" s="364"/>
      <c r="H267" s="382"/>
      <c r="I267" s="364"/>
      <c r="J267" s="382"/>
      <c r="K267" s="364"/>
      <c r="L267" s="364"/>
      <c r="M267" s="364"/>
      <c r="N267" s="382"/>
      <c r="O267" s="364"/>
      <c r="P267" s="364"/>
      <c r="Q267" s="364"/>
      <c r="R267" s="382"/>
      <c r="S267" s="364"/>
      <c r="T267" s="382"/>
      <c r="U267" s="364"/>
      <c r="V267" s="382"/>
      <c r="W267" s="364"/>
      <c r="X267" s="382"/>
      <c r="Y267" s="364"/>
      <c r="Z267" s="382"/>
      <c r="AA267" s="364"/>
      <c r="AB267" s="364"/>
      <c r="AC267" s="364"/>
      <c r="AD267" s="382"/>
      <c r="AE267" s="364"/>
      <c r="AF267" s="382"/>
      <c r="AG267" s="364"/>
      <c r="AH267" s="382"/>
      <c r="AI267" s="364"/>
      <c r="AJ267" s="382"/>
      <c r="AK267" s="364"/>
      <c r="AL267" s="382"/>
      <c r="AM267" s="352"/>
    </row>
    <row r="268" spans="1:39" s="351" customFormat="1">
      <c r="A268" s="363"/>
      <c r="B268" s="363"/>
      <c r="C268" s="364"/>
      <c r="D268" s="364"/>
      <c r="E268" s="364"/>
      <c r="F268" s="364"/>
      <c r="G268" s="364"/>
      <c r="H268" s="382"/>
      <c r="I268" s="364"/>
      <c r="J268" s="382"/>
      <c r="K268" s="364"/>
      <c r="L268" s="364"/>
      <c r="M268" s="364"/>
      <c r="N268" s="382"/>
      <c r="O268" s="364"/>
      <c r="P268" s="364"/>
      <c r="Q268" s="364"/>
      <c r="R268" s="382"/>
      <c r="S268" s="364"/>
      <c r="T268" s="382"/>
      <c r="U268" s="364"/>
      <c r="V268" s="382"/>
      <c r="W268" s="364"/>
      <c r="X268" s="382"/>
      <c r="Y268" s="364"/>
      <c r="Z268" s="382"/>
      <c r="AA268" s="364"/>
      <c r="AB268" s="364"/>
      <c r="AC268" s="364"/>
      <c r="AD268" s="382"/>
      <c r="AE268" s="364"/>
      <c r="AF268" s="382"/>
      <c r="AG268" s="364"/>
      <c r="AH268" s="382"/>
      <c r="AI268" s="364"/>
      <c r="AJ268" s="382"/>
      <c r="AK268" s="364"/>
      <c r="AL268" s="382"/>
      <c r="AM268" s="352"/>
    </row>
    <row r="269" spans="1:39" s="351" customFormat="1">
      <c r="A269" s="363"/>
      <c r="B269" s="363"/>
      <c r="C269" s="364"/>
      <c r="D269" s="364"/>
      <c r="E269" s="364"/>
      <c r="F269" s="364"/>
      <c r="G269" s="364"/>
      <c r="H269" s="382"/>
      <c r="I269" s="364"/>
      <c r="J269" s="382"/>
      <c r="K269" s="364"/>
      <c r="L269" s="364"/>
      <c r="M269" s="364"/>
      <c r="N269" s="382"/>
      <c r="O269" s="364"/>
      <c r="P269" s="364"/>
      <c r="Q269" s="364"/>
      <c r="R269" s="382"/>
      <c r="S269" s="364"/>
      <c r="T269" s="382"/>
      <c r="U269" s="364"/>
      <c r="V269" s="382"/>
      <c r="W269" s="364"/>
      <c r="X269" s="382"/>
      <c r="Y269" s="364"/>
      <c r="Z269" s="382"/>
      <c r="AA269" s="364"/>
      <c r="AB269" s="364"/>
      <c r="AC269" s="364"/>
      <c r="AD269" s="382"/>
      <c r="AE269" s="364"/>
      <c r="AF269" s="382"/>
      <c r="AG269" s="364"/>
      <c r="AH269" s="382"/>
      <c r="AI269" s="364"/>
      <c r="AJ269" s="382"/>
      <c r="AK269" s="364"/>
      <c r="AL269" s="382"/>
      <c r="AM269" s="352"/>
    </row>
    <row r="270" spans="1:39" s="351" customFormat="1">
      <c r="A270" s="363"/>
      <c r="B270" s="363"/>
      <c r="C270" s="364"/>
      <c r="D270" s="364"/>
      <c r="E270" s="364"/>
      <c r="F270" s="364"/>
      <c r="G270" s="364"/>
      <c r="H270" s="382"/>
      <c r="I270" s="364"/>
      <c r="J270" s="382"/>
      <c r="K270" s="364"/>
      <c r="L270" s="364"/>
      <c r="M270" s="364"/>
      <c r="N270" s="382"/>
      <c r="O270" s="364"/>
      <c r="P270" s="364"/>
      <c r="Q270" s="364"/>
      <c r="R270" s="382"/>
      <c r="S270" s="364"/>
      <c r="T270" s="382"/>
      <c r="U270" s="364"/>
      <c r="V270" s="382"/>
      <c r="W270" s="364"/>
      <c r="X270" s="382"/>
      <c r="Y270" s="364"/>
      <c r="Z270" s="382"/>
      <c r="AA270" s="364"/>
      <c r="AB270" s="364"/>
      <c r="AC270" s="364"/>
      <c r="AD270" s="382"/>
      <c r="AE270" s="364"/>
      <c r="AF270" s="382"/>
      <c r="AG270" s="364"/>
      <c r="AH270" s="382"/>
      <c r="AI270" s="364"/>
      <c r="AJ270" s="382"/>
      <c r="AK270" s="364"/>
      <c r="AL270" s="382"/>
      <c r="AM270" s="352"/>
    </row>
    <row r="271" spans="1:39" s="351" customFormat="1">
      <c r="A271" s="363"/>
      <c r="B271" s="363"/>
      <c r="C271" s="364"/>
      <c r="D271" s="364"/>
      <c r="E271" s="364"/>
      <c r="F271" s="364"/>
      <c r="G271" s="364"/>
      <c r="H271" s="382"/>
      <c r="I271" s="364"/>
      <c r="J271" s="382"/>
      <c r="K271" s="364"/>
      <c r="L271" s="364"/>
      <c r="M271" s="364"/>
      <c r="N271" s="382"/>
      <c r="O271" s="364"/>
      <c r="P271" s="364"/>
      <c r="Q271" s="364"/>
      <c r="R271" s="382"/>
      <c r="S271" s="364"/>
      <c r="T271" s="382"/>
      <c r="U271" s="364"/>
      <c r="V271" s="382"/>
      <c r="W271" s="364"/>
      <c r="X271" s="382"/>
      <c r="Y271" s="364"/>
      <c r="Z271" s="382"/>
      <c r="AA271" s="364"/>
      <c r="AB271" s="364"/>
      <c r="AC271" s="364"/>
      <c r="AD271" s="382"/>
      <c r="AE271" s="364"/>
      <c r="AF271" s="382"/>
      <c r="AG271" s="364"/>
      <c r="AH271" s="382"/>
      <c r="AI271" s="364"/>
      <c r="AJ271" s="382"/>
      <c r="AK271" s="364"/>
      <c r="AL271" s="382"/>
      <c r="AM271" s="352"/>
    </row>
    <row r="272" spans="1:39" s="351" customFormat="1">
      <c r="A272" s="363"/>
      <c r="B272" s="363"/>
      <c r="C272" s="364"/>
      <c r="D272" s="364"/>
      <c r="E272" s="364"/>
      <c r="F272" s="364"/>
      <c r="G272" s="364"/>
      <c r="H272" s="382"/>
      <c r="I272" s="364"/>
      <c r="J272" s="382"/>
      <c r="K272" s="364"/>
      <c r="L272" s="364"/>
      <c r="M272" s="364"/>
      <c r="N272" s="382"/>
      <c r="O272" s="364"/>
      <c r="P272" s="364"/>
      <c r="Q272" s="364"/>
      <c r="R272" s="382"/>
      <c r="S272" s="364"/>
      <c r="T272" s="382"/>
      <c r="U272" s="364"/>
      <c r="V272" s="382"/>
      <c r="W272" s="364"/>
      <c r="X272" s="382"/>
      <c r="Y272" s="364"/>
      <c r="Z272" s="382"/>
      <c r="AA272" s="364"/>
      <c r="AB272" s="364"/>
      <c r="AC272" s="364"/>
      <c r="AD272" s="382"/>
      <c r="AE272" s="364"/>
      <c r="AF272" s="382"/>
      <c r="AG272" s="364"/>
      <c r="AH272" s="382"/>
      <c r="AI272" s="364"/>
      <c r="AJ272" s="382"/>
      <c r="AK272" s="364"/>
      <c r="AL272" s="382"/>
      <c r="AM272" s="352"/>
    </row>
    <row r="273" spans="1:39" s="351" customFormat="1">
      <c r="A273" s="363"/>
      <c r="B273" s="363"/>
      <c r="C273" s="364"/>
      <c r="D273" s="364"/>
      <c r="E273" s="364"/>
      <c r="F273" s="364"/>
      <c r="G273" s="364"/>
      <c r="H273" s="382"/>
      <c r="I273" s="364"/>
      <c r="J273" s="382"/>
      <c r="K273" s="364"/>
      <c r="L273" s="364"/>
      <c r="M273" s="364"/>
      <c r="N273" s="382"/>
      <c r="O273" s="364"/>
      <c r="P273" s="364"/>
      <c r="Q273" s="364"/>
      <c r="R273" s="382"/>
      <c r="S273" s="364"/>
      <c r="T273" s="382"/>
      <c r="U273" s="364"/>
      <c r="V273" s="382"/>
      <c r="W273" s="364"/>
      <c r="X273" s="382"/>
      <c r="Y273" s="364"/>
      <c r="Z273" s="382"/>
      <c r="AA273" s="364"/>
      <c r="AB273" s="364"/>
      <c r="AC273" s="364"/>
      <c r="AD273" s="382"/>
      <c r="AE273" s="364"/>
      <c r="AF273" s="382"/>
      <c r="AG273" s="364"/>
      <c r="AH273" s="382"/>
      <c r="AI273" s="364"/>
      <c r="AJ273" s="382"/>
      <c r="AK273" s="364"/>
      <c r="AL273" s="382"/>
      <c r="AM273" s="352"/>
    </row>
    <row r="274" spans="1:39" s="351" customFormat="1">
      <c r="A274" s="363"/>
      <c r="B274" s="363"/>
      <c r="C274" s="364"/>
      <c r="D274" s="364"/>
      <c r="E274" s="364"/>
      <c r="F274" s="364"/>
      <c r="G274" s="364"/>
      <c r="H274" s="382"/>
      <c r="I274" s="364"/>
      <c r="J274" s="382"/>
      <c r="K274" s="364"/>
      <c r="L274" s="364"/>
      <c r="M274" s="364"/>
      <c r="N274" s="382"/>
      <c r="O274" s="364"/>
      <c r="P274" s="364"/>
      <c r="Q274" s="364"/>
      <c r="R274" s="382"/>
      <c r="S274" s="364"/>
      <c r="T274" s="382"/>
      <c r="U274" s="364"/>
      <c r="V274" s="382"/>
      <c r="W274" s="364"/>
      <c r="X274" s="382"/>
      <c r="Y274" s="364"/>
      <c r="Z274" s="382"/>
      <c r="AA274" s="364"/>
      <c r="AB274" s="364"/>
      <c r="AC274" s="364"/>
      <c r="AD274" s="382"/>
      <c r="AE274" s="364"/>
      <c r="AF274" s="382"/>
      <c r="AG274" s="364"/>
      <c r="AH274" s="382"/>
      <c r="AI274" s="364"/>
      <c r="AJ274" s="382"/>
      <c r="AK274" s="364"/>
      <c r="AL274" s="382"/>
      <c r="AM274" s="352"/>
    </row>
    <row r="275" spans="1:39" s="351" customFormat="1">
      <c r="A275" s="363"/>
      <c r="B275" s="363"/>
      <c r="C275" s="364"/>
      <c r="D275" s="364"/>
      <c r="E275" s="364"/>
      <c r="F275" s="364"/>
      <c r="G275" s="364"/>
      <c r="H275" s="382"/>
      <c r="I275" s="364"/>
      <c r="J275" s="382"/>
      <c r="K275" s="364"/>
      <c r="L275" s="364"/>
      <c r="M275" s="364"/>
      <c r="N275" s="382"/>
      <c r="O275" s="364"/>
      <c r="P275" s="364"/>
      <c r="Q275" s="364"/>
      <c r="R275" s="382"/>
      <c r="S275" s="364"/>
      <c r="T275" s="382"/>
      <c r="U275" s="364"/>
      <c r="V275" s="382"/>
      <c r="W275" s="364"/>
      <c r="X275" s="382"/>
      <c r="Y275" s="364"/>
      <c r="Z275" s="382"/>
      <c r="AA275" s="364"/>
      <c r="AB275" s="364"/>
      <c r="AC275" s="364"/>
      <c r="AD275" s="382"/>
      <c r="AE275" s="364"/>
      <c r="AF275" s="382"/>
      <c r="AG275" s="364"/>
      <c r="AH275" s="382"/>
      <c r="AI275" s="364"/>
      <c r="AJ275" s="382"/>
      <c r="AK275" s="364"/>
      <c r="AL275" s="382"/>
      <c r="AM275" s="352"/>
    </row>
    <row r="276" spans="1:39" s="351" customFormat="1">
      <c r="A276" s="363"/>
      <c r="B276" s="363"/>
      <c r="C276" s="364"/>
      <c r="D276" s="364"/>
      <c r="E276" s="364"/>
      <c r="F276" s="364"/>
      <c r="G276" s="364"/>
      <c r="H276" s="382"/>
      <c r="I276" s="364"/>
      <c r="J276" s="382"/>
      <c r="K276" s="364"/>
      <c r="L276" s="364"/>
      <c r="M276" s="364"/>
      <c r="N276" s="382"/>
      <c r="O276" s="364"/>
      <c r="P276" s="364"/>
      <c r="Q276" s="364"/>
      <c r="R276" s="382"/>
      <c r="S276" s="364"/>
      <c r="T276" s="382"/>
      <c r="U276" s="364"/>
      <c r="V276" s="382"/>
      <c r="W276" s="364"/>
      <c r="X276" s="382"/>
      <c r="Y276" s="364"/>
      <c r="Z276" s="382"/>
      <c r="AA276" s="364"/>
      <c r="AB276" s="364"/>
      <c r="AC276" s="364"/>
      <c r="AD276" s="382"/>
      <c r="AE276" s="364"/>
      <c r="AF276" s="382"/>
      <c r="AG276" s="364"/>
      <c r="AH276" s="382"/>
      <c r="AI276" s="364"/>
      <c r="AJ276" s="382"/>
      <c r="AK276" s="364"/>
      <c r="AL276" s="382"/>
      <c r="AM276" s="352"/>
    </row>
    <row r="277" spans="1:39" s="351" customFormat="1">
      <c r="A277" s="363"/>
      <c r="B277" s="363"/>
      <c r="C277" s="364"/>
      <c r="D277" s="364"/>
      <c r="E277" s="364"/>
      <c r="F277" s="364"/>
      <c r="G277" s="364"/>
      <c r="H277" s="382"/>
      <c r="I277" s="364"/>
      <c r="J277" s="382"/>
      <c r="K277" s="364"/>
      <c r="L277" s="364"/>
      <c r="M277" s="364"/>
      <c r="N277" s="382"/>
      <c r="O277" s="364"/>
      <c r="P277" s="364"/>
      <c r="Q277" s="364"/>
      <c r="R277" s="382"/>
      <c r="S277" s="364"/>
      <c r="T277" s="382"/>
      <c r="U277" s="364"/>
      <c r="V277" s="382"/>
      <c r="W277" s="364"/>
      <c r="X277" s="382"/>
      <c r="Y277" s="364"/>
      <c r="Z277" s="382"/>
      <c r="AA277" s="364"/>
      <c r="AB277" s="364"/>
      <c r="AC277" s="364"/>
      <c r="AD277" s="382"/>
      <c r="AE277" s="364"/>
      <c r="AF277" s="382"/>
      <c r="AG277" s="364"/>
      <c r="AH277" s="382"/>
      <c r="AI277" s="364"/>
      <c r="AJ277" s="382"/>
      <c r="AK277" s="364"/>
      <c r="AL277" s="382"/>
      <c r="AM277" s="352"/>
    </row>
    <row r="278" spans="1:39" s="351" customFormat="1">
      <c r="A278" s="363"/>
      <c r="B278" s="363"/>
      <c r="C278" s="364"/>
      <c r="D278" s="364"/>
      <c r="E278" s="364"/>
      <c r="F278" s="364"/>
      <c r="G278" s="364"/>
      <c r="H278" s="382"/>
      <c r="I278" s="364"/>
      <c r="J278" s="382"/>
      <c r="K278" s="364"/>
      <c r="L278" s="364"/>
      <c r="M278" s="364"/>
      <c r="N278" s="382"/>
      <c r="O278" s="364"/>
      <c r="P278" s="364"/>
      <c r="Q278" s="364"/>
      <c r="R278" s="382"/>
      <c r="S278" s="364"/>
      <c r="T278" s="382"/>
      <c r="U278" s="364"/>
      <c r="V278" s="382"/>
      <c r="W278" s="364"/>
      <c r="X278" s="382"/>
      <c r="Y278" s="364"/>
      <c r="Z278" s="382"/>
      <c r="AA278" s="364"/>
      <c r="AB278" s="364"/>
      <c r="AC278" s="364"/>
      <c r="AD278" s="382"/>
      <c r="AE278" s="364"/>
      <c r="AF278" s="382"/>
      <c r="AG278" s="364"/>
      <c r="AH278" s="382"/>
      <c r="AI278" s="364"/>
      <c r="AJ278" s="382"/>
      <c r="AK278" s="364"/>
      <c r="AL278" s="382"/>
      <c r="AM278" s="352"/>
    </row>
    <row r="279" spans="1:39" s="351" customFormat="1">
      <c r="A279" s="363"/>
      <c r="B279" s="363"/>
      <c r="C279" s="364"/>
      <c r="D279" s="364"/>
      <c r="E279" s="364"/>
      <c r="F279" s="364"/>
      <c r="G279" s="364"/>
      <c r="H279" s="382"/>
      <c r="I279" s="364"/>
      <c r="J279" s="382"/>
      <c r="K279" s="364"/>
      <c r="L279" s="364"/>
      <c r="M279" s="364"/>
      <c r="N279" s="382"/>
      <c r="O279" s="364"/>
      <c r="P279" s="364"/>
      <c r="Q279" s="364"/>
      <c r="R279" s="382"/>
      <c r="S279" s="364"/>
      <c r="T279" s="382"/>
      <c r="U279" s="364"/>
      <c r="V279" s="382"/>
      <c r="W279" s="364"/>
      <c r="X279" s="382"/>
      <c r="Y279" s="364"/>
      <c r="Z279" s="382"/>
      <c r="AA279" s="364"/>
      <c r="AB279" s="364"/>
      <c r="AC279" s="364"/>
      <c r="AD279" s="382"/>
      <c r="AE279" s="364"/>
      <c r="AF279" s="382"/>
      <c r="AG279" s="364"/>
      <c r="AH279" s="382"/>
      <c r="AI279" s="364"/>
      <c r="AJ279" s="382"/>
      <c r="AK279" s="364"/>
      <c r="AL279" s="382"/>
      <c r="AM279" s="352"/>
    </row>
    <row r="280" spans="1:39" s="351" customFormat="1">
      <c r="A280" s="363"/>
      <c r="B280" s="363"/>
      <c r="C280" s="364"/>
      <c r="D280" s="364"/>
      <c r="E280" s="364"/>
      <c r="F280" s="364"/>
      <c r="G280" s="364"/>
      <c r="H280" s="382"/>
      <c r="I280" s="364"/>
      <c r="J280" s="382"/>
      <c r="K280" s="364"/>
      <c r="L280" s="364"/>
      <c r="M280" s="364"/>
      <c r="N280" s="382"/>
      <c r="O280" s="364"/>
      <c r="P280" s="364"/>
      <c r="Q280" s="364"/>
      <c r="R280" s="382"/>
      <c r="S280" s="364"/>
      <c r="T280" s="382"/>
      <c r="U280" s="364"/>
      <c r="V280" s="382"/>
      <c r="W280" s="364"/>
      <c r="X280" s="382"/>
      <c r="Y280" s="364"/>
      <c r="Z280" s="382"/>
      <c r="AA280" s="364"/>
      <c r="AB280" s="364"/>
      <c r="AC280" s="364"/>
      <c r="AD280" s="382"/>
      <c r="AE280" s="364"/>
      <c r="AF280" s="382"/>
      <c r="AG280" s="364"/>
      <c r="AH280" s="382"/>
      <c r="AI280" s="364"/>
      <c r="AJ280" s="382"/>
      <c r="AK280" s="364"/>
      <c r="AL280" s="382"/>
      <c r="AM280" s="352"/>
    </row>
    <row r="281" spans="1:39" s="351" customFormat="1">
      <c r="A281" s="363"/>
      <c r="B281" s="363"/>
      <c r="C281" s="364"/>
      <c r="D281" s="364"/>
      <c r="E281" s="364"/>
      <c r="F281" s="364"/>
      <c r="G281" s="364"/>
      <c r="H281" s="382"/>
      <c r="I281" s="364"/>
      <c r="J281" s="382"/>
      <c r="K281" s="364"/>
      <c r="L281" s="364"/>
      <c r="M281" s="364"/>
      <c r="N281" s="382"/>
      <c r="O281" s="364"/>
      <c r="P281" s="364"/>
      <c r="Q281" s="364"/>
      <c r="R281" s="382"/>
      <c r="S281" s="364"/>
      <c r="T281" s="382"/>
      <c r="U281" s="364"/>
      <c r="V281" s="382"/>
      <c r="W281" s="364"/>
      <c r="X281" s="382"/>
      <c r="Y281" s="364"/>
      <c r="Z281" s="382"/>
      <c r="AA281" s="364"/>
      <c r="AB281" s="364"/>
      <c r="AC281" s="364"/>
      <c r="AD281" s="382"/>
      <c r="AE281" s="364"/>
      <c r="AF281" s="382"/>
      <c r="AG281" s="364"/>
      <c r="AH281" s="382"/>
      <c r="AI281" s="364"/>
      <c r="AJ281" s="382"/>
      <c r="AK281" s="364"/>
      <c r="AL281" s="382"/>
      <c r="AM281" s="352"/>
    </row>
    <row r="282" spans="1:39" s="351" customFormat="1">
      <c r="A282" s="363"/>
      <c r="B282" s="363"/>
      <c r="C282" s="364"/>
      <c r="D282" s="364"/>
      <c r="E282" s="364"/>
      <c r="F282" s="364"/>
      <c r="G282" s="364"/>
      <c r="H282" s="382"/>
      <c r="I282" s="364"/>
      <c r="J282" s="382"/>
      <c r="K282" s="364"/>
      <c r="L282" s="364"/>
      <c r="M282" s="364"/>
      <c r="N282" s="382"/>
      <c r="O282" s="364"/>
      <c r="P282" s="364"/>
      <c r="Q282" s="364"/>
      <c r="R282" s="382"/>
      <c r="S282" s="364"/>
      <c r="T282" s="382"/>
      <c r="U282" s="364"/>
      <c r="V282" s="382"/>
      <c r="W282" s="364"/>
      <c r="X282" s="382"/>
      <c r="Y282" s="364"/>
      <c r="Z282" s="382"/>
      <c r="AA282" s="364"/>
      <c r="AB282" s="364"/>
      <c r="AC282" s="364"/>
      <c r="AD282" s="382"/>
      <c r="AE282" s="364"/>
      <c r="AF282" s="382"/>
      <c r="AG282" s="364"/>
      <c r="AH282" s="382"/>
      <c r="AI282" s="364"/>
      <c r="AJ282" s="382"/>
      <c r="AK282" s="364"/>
      <c r="AL282" s="382"/>
      <c r="AM282" s="352"/>
    </row>
    <row r="283" spans="1:39" s="351" customFormat="1">
      <c r="A283" s="363"/>
      <c r="B283" s="363"/>
      <c r="C283" s="364"/>
      <c r="D283" s="364"/>
      <c r="E283" s="364"/>
      <c r="F283" s="364"/>
      <c r="G283" s="364"/>
      <c r="H283" s="382"/>
      <c r="I283" s="364"/>
      <c r="J283" s="382"/>
      <c r="K283" s="364"/>
      <c r="L283" s="364"/>
      <c r="M283" s="364"/>
      <c r="N283" s="382"/>
      <c r="O283" s="364"/>
      <c r="P283" s="364"/>
      <c r="Q283" s="364"/>
      <c r="R283" s="382"/>
      <c r="S283" s="364"/>
      <c r="T283" s="382"/>
      <c r="U283" s="364"/>
      <c r="V283" s="382"/>
      <c r="W283" s="364"/>
      <c r="X283" s="382"/>
      <c r="Y283" s="364"/>
      <c r="Z283" s="382"/>
      <c r="AA283" s="364"/>
      <c r="AB283" s="364"/>
      <c r="AC283" s="364"/>
      <c r="AD283" s="382"/>
      <c r="AE283" s="364"/>
      <c r="AF283" s="382"/>
      <c r="AG283" s="364"/>
      <c r="AH283" s="382"/>
      <c r="AI283" s="364"/>
      <c r="AJ283" s="382"/>
      <c r="AK283" s="364"/>
      <c r="AL283" s="382"/>
      <c r="AM283" s="352"/>
    </row>
    <row r="284" spans="1:39" s="351" customFormat="1">
      <c r="A284" s="363"/>
      <c r="B284" s="363"/>
      <c r="C284" s="364"/>
      <c r="D284" s="364"/>
      <c r="E284" s="364"/>
      <c r="F284" s="364"/>
      <c r="G284" s="364"/>
      <c r="H284" s="382"/>
      <c r="I284" s="364"/>
      <c r="J284" s="382"/>
      <c r="K284" s="364"/>
      <c r="L284" s="364"/>
      <c r="M284" s="364"/>
      <c r="N284" s="382"/>
      <c r="O284" s="364"/>
      <c r="P284" s="364"/>
      <c r="Q284" s="364"/>
      <c r="R284" s="382"/>
      <c r="S284" s="364"/>
      <c r="T284" s="382"/>
      <c r="U284" s="364"/>
      <c r="V284" s="382"/>
      <c r="W284" s="364"/>
      <c r="X284" s="382"/>
      <c r="Y284" s="364"/>
      <c r="Z284" s="382"/>
      <c r="AA284" s="364"/>
      <c r="AB284" s="364"/>
      <c r="AC284" s="364"/>
      <c r="AD284" s="382"/>
      <c r="AE284" s="364"/>
      <c r="AF284" s="382"/>
      <c r="AG284" s="364"/>
      <c r="AH284" s="382"/>
      <c r="AI284" s="364"/>
      <c r="AJ284" s="382"/>
      <c r="AK284" s="364"/>
      <c r="AL284" s="382"/>
      <c r="AM284" s="352"/>
    </row>
    <row r="285" spans="1:39" s="351" customFormat="1">
      <c r="A285" s="363"/>
      <c r="B285" s="363"/>
      <c r="C285" s="364"/>
      <c r="D285" s="364"/>
      <c r="E285" s="364"/>
      <c r="F285" s="364"/>
      <c r="G285" s="364"/>
      <c r="H285" s="382"/>
      <c r="I285" s="364"/>
      <c r="J285" s="382"/>
      <c r="K285" s="364"/>
      <c r="L285" s="364"/>
      <c r="M285" s="364"/>
      <c r="N285" s="382"/>
      <c r="O285" s="364"/>
      <c r="P285" s="364"/>
      <c r="Q285" s="364"/>
      <c r="R285" s="382"/>
      <c r="S285" s="364"/>
      <c r="T285" s="382"/>
      <c r="U285" s="364"/>
      <c r="V285" s="382"/>
      <c r="W285" s="364"/>
      <c r="X285" s="382"/>
      <c r="Y285" s="364"/>
      <c r="Z285" s="382"/>
      <c r="AA285" s="364"/>
      <c r="AB285" s="364"/>
      <c r="AC285" s="364"/>
      <c r="AD285" s="382"/>
      <c r="AE285" s="364"/>
      <c r="AF285" s="382"/>
      <c r="AG285" s="364"/>
      <c r="AH285" s="382"/>
      <c r="AI285" s="364"/>
      <c r="AJ285" s="382"/>
      <c r="AK285" s="364"/>
      <c r="AL285" s="382"/>
      <c r="AM285" s="352"/>
    </row>
    <row r="286" spans="1:39" s="351" customFormat="1">
      <c r="A286" s="363"/>
      <c r="B286" s="363"/>
      <c r="C286" s="364"/>
      <c r="D286" s="364"/>
      <c r="E286" s="364"/>
      <c r="F286" s="364"/>
      <c r="G286" s="364"/>
      <c r="H286" s="382"/>
      <c r="I286" s="364"/>
      <c r="J286" s="382"/>
      <c r="K286" s="364"/>
      <c r="L286" s="364"/>
      <c r="M286" s="364"/>
      <c r="N286" s="382"/>
      <c r="O286" s="364"/>
      <c r="P286" s="364"/>
      <c r="Q286" s="364"/>
      <c r="R286" s="382"/>
      <c r="S286" s="364"/>
      <c r="T286" s="382"/>
      <c r="U286" s="364"/>
      <c r="V286" s="382"/>
      <c r="W286" s="364"/>
      <c r="X286" s="382"/>
      <c r="Y286" s="364"/>
      <c r="Z286" s="382"/>
      <c r="AA286" s="364"/>
      <c r="AB286" s="364"/>
      <c r="AC286" s="364"/>
      <c r="AD286" s="382"/>
      <c r="AE286" s="364"/>
      <c r="AF286" s="382"/>
      <c r="AG286" s="364"/>
      <c r="AH286" s="382"/>
      <c r="AI286" s="364"/>
      <c r="AJ286" s="382"/>
      <c r="AK286" s="364"/>
      <c r="AL286" s="382"/>
      <c r="AM286" s="352"/>
    </row>
    <row r="287" spans="1:39" s="351" customFormat="1">
      <c r="A287" s="363"/>
      <c r="B287" s="363"/>
      <c r="C287" s="364"/>
      <c r="D287" s="364"/>
      <c r="E287" s="364"/>
      <c r="F287" s="364"/>
      <c r="G287" s="364"/>
      <c r="H287" s="382"/>
      <c r="I287" s="364"/>
      <c r="J287" s="382"/>
      <c r="K287" s="364"/>
      <c r="L287" s="364"/>
      <c r="M287" s="364"/>
      <c r="N287" s="382"/>
      <c r="O287" s="364"/>
      <c r="P287" s="364"/>
      <c r="Q287" s="364"/>
      <c r="R287" s="382"/>
      <c r="S287" s="364"/>
      <c r="T287" s="382"/>
      <c r="U287" s="364"/>
      <c r="V287" s="382"/>
      <c r="W287" s="364"/>
      <c r="X287" s="382"/>
      <c r="Y287" s="364"/>
      <c r="Z287" s="382"/>
      <c r="AA287" s="364"/>
      <c r="AB287" s="364"/>
      <c r="AC287" s="364"/>
      <c r="AD287" s="382"/>
      <c r="AE287" s="364"/>
      <c r="AF287" s="382"/>
      <c r="AG287" s="364"/>
      <c r="AH287" s="382"/>
      <c r="AI287" s="364"/>
      <c r="AJ287" s="382"/>
      <c r="AK287" s="364"/>
      <c r="AL287" s="382"/>
      <c r="AM287" s="352"/>
    </row>
    <row r="288" spans="1:39" s="351" customFormat="1">
      <c r="A288" s="363"/>
      <c r="B288" s="363"/>
      <c r="C288" s="364"/>
      <c r="D288" s="364"/>
      <c r="E288" s="364"/>
      <c r="F288" s="364"/>
      <c r="G288" s="364"/>
      <c r="H288" s="382"/>
      <c r="I288" s="364"/>
      <c r="J288" s="382"/>
      <c r="K288" s="364"/>
      <c r="L288" s="364"/>
      <c r="M288" s="364"/>
      <c r="N288" s="382"/>
      <c r="O288" s="364"/>
      <c r="P288" s="364"/>
      <c r="Q288" s="364"/>
      <c r="R288" s="382"/>
      <c r="S288" s="364"/>
      <c r="T288" s="382"/>
      <c r="U288" s="364"/>
      <c r="V288" s="382"/>
      <c r="W288" s="364"/>
      <c r="X288" s="382"/>
      <c r="Y288" s="364"/>
      <c r="Z288" s="382"/>
      <c r="AA288" s="364"/>
      <c r="AB288" s="364"/>
      <c r="AC288" s="364"/>
      <c r="AD288" s="382"/>
      <c r="AE288" s="364"/>
      <c r="AF288" s="382"/>
      <c r="AG288" s="364"/>
      <c r="AH288" s="382"/>
      <c r="AI288" s="364"/>
      <c r="AJ288" s="382"/>
      <c r="AK288" s="364"/>
      <c r="AL288" s="382"/>
      <c r="AM288" s="352"/>
    </row>
    <row r="289" spans="1:39" s="351" customFormat="1">
      <c r="A289" s="363"/>
      <c r="B289" s="363"/>
      <c r="C289" s="364"/>
      <c r="D289" s="364"/>
      <c r="E289" s="364"/>
      <c r="F289" s="364"/>
      <c r="G289" s="364"/>
      <c r="H289" s="382"/>
      <c r="I289" s="364"/>
      <c r="J289" s="382"/>
      <c r="K289" s="364"/>
      <c r="L289" s="364"/>
      <c r="M289" s="364"/>
      <c r="N289" s="382"/>
      <c r="O289" s="364"/>
      <c r="P289" s="364"/>
      <c r="Q289" s="364"/>
      <c r="R289" s="382"/>
      <c r="S289" s="364"/>
      <c r="T289" s="382"/>
      <c r="U289" s="364"/>
      <c r="V289" s="382"/>
      <c r="W289" s="364"/>
      <c r="X289" s="382"/>
      <c r="Y289" s="364"/>
      <c r="Z289" s="382"/>
      <c r="AA289" s="364"/>
      <c r="AB289" s="364"/>
      <c r="AC289" s="364"/>
      <c r="AD289" s="382"/>
      <c r="AE289" s="364"/>
      <c r="AF289" s="382"/>
      <c r="AG289" s="364"/>
      <c r="AH289" s="382"/>
      <c r="AI289" s="364"/>
      <c r="AJ289" s="382"/>
      <c r="AK289" s="364"/>
      <c r="AL289" s="382"/>
      <c r="AM289" s="352"/>
    </row>
    <row r="290" spans="1:39" s="351" customFormat="1">
      <c r="A290" s="363"/>
      <c r="B290" s="363"/>
      <c r="C290" s="364"/>
      <c r="D290" s="364"/>
      <c r="E290" s="364"/>
      <c r="F290" s="364"/>
      <c r="G290" s="364"/>
      <c r="H290" s="382"/>
      <c r="I290" s="364"/>
      <c r="J290" s="382"/>
      <c r="K290" s="364"/>
      <c r="L290" s="364"/>
      <c r="M290" s="364"/>
      <c r="N290" s="382"/>
      <c r="O290" s="364"/>
      <c r="P290" s="364"/>
      <c r="Q290" s="364"/>
      <c r="R290" s="382"/>
      <c r="S290" s="364"/>
      <c r="T290" s="382"/>
      <c r="U290" s="364"/>
      <c r="V290" s="382"/>
      <c r="W290" s="364"/>
      <c r="X290" s="382"/>
      <c r="Y290" s="364"/>
      <c r="Z290" s="382"/>
      <c r="AA290" s="364"/>
      <c r="AB290" s="364"/>
      <c r="AC290" s="364"/>
      <c r="AD290" s="382"/>
      <c r="AE290" s="364"/>
      <c r="AF290" s="382"/>
      <c r="AG290" s="364"/>
      <c r="AH290" s="382"/>
      <c r="AI290" s="364"/>
      <c r="AJ290" s="382"/>
      <c r="AK290" s="364"/>
      <c r="AL290" s="382"/>
      <c r="AM290" s="352"/>
    </row>
    <row r="291" spans="1:39" s="351" customFormat="1">
      <c r="A291" s="363"/>
      <c r="B291" s="363"/>
      <c r="C291" s="364"/>
      <c r="D291" s="364"/>
      <c r="E291" s="364"/>
      <c r="F291" s="364"/>
      <c r="G291" s="364"/>
      <c r="H291" s="382"/>
      <c r="I291" s="364"/>
      <c r="J291" s="382"/>
      <c r="K291" s="364"/>
      <c r="L291" s="364"/>
      <c r="M291" s="364"/>
      <c r="N291" s="382"/>
      <c r="O291" s="364"/>
      <c r="P291" s="364"/>
      <c r="Q291" s="364"/>
      <c r="R291" s="382"/>
      <c r="S291" s="364"/>
      <c r="T291" s="382"/>
      <c r="U291" s="364"/>
      <c r="V291" s="382"/>
      <c r="W291" s="364"/>
      <c r="X291" s="382"/>
      <c r="Y291" s="364"/>
      <c r="Z291" s="382"/>
      <c r="AA291" s="364"/>
      <c r="AB291" s="364"/>
      <c r="AC291" s="364"/>
      <c r="AD291" s="382"/>
      <c r="AE291" s="364"/>
      <c r="AF291" s="382"/>
      <c r="AG291" s="364"/>
      <c r="AH291" s="382"/>
      <c r="AI291" s="364"/>
      <c r="AJ291" s="382"/>
      <c r="AK291" s="364"/>
      <c r="AL291" s="382"/>
      <c r="AM291" s="352"/>
    </row>
    <row r="292" spans="1:39" s="351" customFormat="1">
      <c r="A292" s="363"/>
      <c r="B292" s="363"/>
      <c r="C292" s="364"/>
      <c r="D292" s="364"/>
      <c r="E292" s="364"/>
      <c r="F292" s="364"/>
      <c r="G292" s="364"/>
      <c r="H292" s="382"/>
      <c r="I292" s="364"/>
      <c r="J292" s="382"/>
      <c r="K292" s="364"/>
      <c r="L292" s="364"/>
      <c r="M292" s="364"/>
      <c r="N292" s="382"/>
      <c r="O292" s="364"/>
      <c r="P292" s="364"/>
      <c r="Q292" s="364"/>
      <c r="R292" s="382"/>
      <c r="S292" s="364"/>
      <c r="T292" s="382"/>
      <c r="U292" s="364"/>
      <c r="V292" s="382"/>
      <c r="W292" s="364"/>
      <c r="X292" s="382"/>
      <c r="Y292" s="364"/>
      <c r="Z292" s="382"/>
      <c r="AA292" s="364"/>
      <c r="AB292" s="364"/>
      <c r="AC292" s="364"/>
      <c r="AD292" s="382"/>
      <c r="AE292" s="364"/>
      <c r="AF292" s="382"/>
      <c r="AG292" s="364"/>
      <c r="AH292" s="382"/>
      <c r="AI292" s="364"/>
      <c r="AJ292" s="382"/>
      <c r="AK292" s="364"/>
      <c r="AL292" s="382"/>
      <c r="AM292" s="352"/>
    </row>
    <row r="293" spans="1:39" s="351" customFormat="1">
      <c r="A293" s="363"/>
      <c r="B293" s="363"/>
      <c r="C293" s="364"/>
      <c r="D293" s="364"/>
      <c r="E293" s="364"/>
      <c r="F293" s="364"/>
      <c r="G293" s="364"/>
      <c r="H293" s="382"/>
      <c r="I293" s="364"/>
      <c r="J293" s="382"/>
      <c r="K293" s="364"/>
      <c r="L293" s="364"/>
      <c r="M293" s="364"/>
      <c r="N293" s="382"/>
      <c r="O293" s="364"/>
      <c r="P293" s="364"/>
      <c r="Q293" s="364"/>
      <c r="R293" s="382"/>
      <c r="S293" s="364"/>
      <c r="T293" s="382"/>
      <c r="U293" s="364"/>
      <c r="V293" s="382"/>
      <c r="W293" s="364"/>
      <c r="X293" s="382"/>
      <c r="Y293" s="364"/>
      <c r="Z293" s="382"/>
      <c r="AA293" s="364"/>
      <c r="AB293" s="364"/>
      <c r="AC293" s="364"/>
      <c r="AD293" s="382"/>
      <c r="AE293" s="364"/>
      <c r="AF293" s="382"/>
      <c r="AG293" s="364"/>
      <c r="AH293" s="382"/>
      <c r="AI293" s="364"/>
      <c r="AJ293" s="382"/>
      <c r="AK293" s="364"/>
      <c r="AL293" s="382"/>
      <c r="AM293" s="352"/>
    </row>
    <row r="294" spans="1:39" s="351" customFormat="1">
      <c r="A294" s="363"/>
      <c r="B294" s="363"/>
      <c r="C294" s="364"/>
      <c r="D294" s="364"/>
      <c r="E294" s="364"/>
      <c r="F294" s="364"/>
      <c r="G294" s="364"/>
      <c r="H294" s="382"/>
      <c r="I294" s="364"/>
      <c r="J294" s="382"/>
      <c r="K294" s="364"/>
      <c r="L294" s="364"/>
      <c r="M294" s="364"/>
      <c r="N294" s="382"/>
      <c r="O294" s="364"/>
      <c r="P294" s="364"/>
      <c r="Q294" s="364"/>
      <c r="R294" s="382"/>
      <c r="S294" s="364"/>
      <c r="T294" s="382"/>
      <c r="U294" s="364"/>
      <c r="V294" s="382"/>
      <c r="W294" s="364"/>
      <c r="X294" s="382"/>
      <c r="Y294" s="364"/>
      <c r="Z294" s="382"/>
      <c r="AA294" s="364"/>
      <c r="AB294" s="364"/>
      <c r="AC294" s="364"/>
      <c r="AD294" s="382"/>
      <c r="AE294" s="364"/>
      <c r="AF294" s="382"/>
      <c r="AG294" s="364"/>
      <c r="AH294" s="382"/>
      <c r="AI294" s="364"/>
      <c r="AJ294" s="382"/>
      <c r="AK294" s="364"/>
      <c r="AL294" s="382"/>
      <c r="AM294" s="352"/>
    </row>
    <row r="295" spans="1:39" s="351" customFormat="1">
      <c r="A295" s="363"/>
      <c r="B295" s="363"/>
      <c r="C295" s="364"/>
      <c r="D295" s="364"/>
      <c r="E295" s="364"/>
      <c r="F295" s="364"/>
      <c r="G295" s="364"/>
      <c r="H295" s="382"/>
      <c r="I295" s="364"/>
      <c r="J295" s="382"/>
      <c r="K295" s="364"/>
      <c r="L295" s="364"/>
      <c r="M295" s="364"/>
      <c r="N295" s="382"/>
      <c r="O295" s="364"/>
      <c r="P295" s="364"/>
      <c r="Q295" s="364"/>
      <c r="R295" s="382"/>
      <c r="S295" s="364"/>
      <c r="T295" s="382"/>
      <c r="U295" s="364"/>
      <c r="V295" s="382"/>
      <c r="W295" s="364"/>
      <c r="X295" s="382"/>
      <c r="Y295" s="364"/>
      <c r="Z295" s="382"/>
      <c r="AA295" s="364"/>
      <c r="AB295" s="364"/>
      <c r="AC295" s="364"/>
      <c r="AD295" s="382"/>
      <c r="AE295" s="364"/>
      <c r="AF295" s="382"/>
      <c r="AG295" s="364"/>
      <c r="AH295" s="382"/>
      <c r="AI295" s="364"/>
      <c r="AJ295" s="382"/>
      <c r="AK295" s="364"/>
      <c r="AL295" s="382"/>
      <c r="AM295" s="352"/>
    </row>
    <row r="296" spans="1:39" s="351" customFormat="1">
      <c r="A296" s="363"/>
      <c r="B296" s="363"/>
      <c r="C296" s="364"/>
      <c r="D296" s="364"/>
      <c r="E296" s="364"/>
      <c r="F296" s="364"/>
      <c r="G296" s="364"/>
      <c r="H296" s="382"/>
      <c r="I296" s="364"/>
      <c r="J296" s="382"/>
      <c r="K296" s="364"/>
      <c r="L296" s="364"/>
      <c r="M296" s="364"/>
      <c r="N296" s="382"/>
      <c r="O296" s="364"/>
      <c r="P296" s="364"/>
      <c r="Q296" s="364"/>
      <c r="R296" s="382"/>
      <c r="S296" s="364"/>
      <c r="T296" s="382"/>
      <c r="U296" s="364"/>
      <c r="V296" s="382"/>
      <c r="W296" s="364"/>
      <c r="X296" s="382"/>
      <c r="Y296" s="364"/>
      <c r="Z296" s="382"/>
      <c r="AA296" s="364"/>
      <c r="AB296" s="364"/>
      <c r="AC296" s="364"/>
      <c r="AD296" s="382"/>
      <c r="AE296" s="364"/>
      <c r="AF296" s="382"/>
      <c r="AG296" s="364"/>
      <c r="AH296" s="382"/>
      <c r="AI296" s="364"/>
      <c r="AJ296" s="382"/>
      <c r="AK296" s="364"/>
      <c r="AL296" s="382"/>
      <c r="AM296" s="352"/>
    </row>
    <row r="297" spans="1:39" s="351" customFormat="1">
      <c r="A297" s="363"/>
      <c r="B297" s="363"/>
      <c r="C297" s="364"/>
      <c r="D297" s="364"/>
      <c r="E297" s="364"/>
      <c r="F297" s="364"/>
      <c r="G297" s="364"/>
      <c r="H297" s="382"/>
      <c r="I297" s="364"/>
      <c r="J297" s="382"/>
      <c r="K297" s="364"/>
      <c r="L297" s="364"/>
      <c r="M297" s="364"/>
      <c r="N297" s="382"/>
      <c r="O297" s="364"/>
      <c r="P297" s="364"/>
      <c r="Q297" s="364"/>
      <c r="R297" s="382"/>
      <c r="S297" s="364"/>
      <c r="T297" s="382"/>
      <c r="U297" s="364"/>
      <c r="V297" s="382"/>
      <c r="W297" s="364"/>
      <c r="X297" s="382"/>
      <c r="Y297" s="364"/>
      <c r="Z297" s="382"/>
      <c r="AA297" s="364"/>
      <c r="AB297" s="364"/>
      <c r="AC297" s="364"/>
      <c r="AD297" s="382"/>
      <c r="AE297" s="364"/>
      <c r="AF297" s="382"/>
      <c r="AG297" s="364"/>
      <c r="AH297" s="382"/>
      <c r="AI297" s="364"/>
      <c r="AJ297" s="382"/>
      <c r="AK297" s="364"/>
      <c r="AL297" s="382"/>
      <c r="AM297" s="352"/>
    </row>
    <row r="298" spans="1:39" s="351" customFormat="1">
      <c r="A298" s="363"/>
      <c r="B298" s="363"/>
      <c r="C298" s="364"/>
      <c r="D298" s="364"/>
      <c r="E298" s="364"/>
      <c r="F298" s="364"/>
      <c r="G298" s="364"/>
      <c r="H298" s="382"/>
      <c r="I298" s="364"/>
      <c r="J298" s="382"/>
      <c r="K298" s="364"/>
      <c r="L298" s="364"/>
      <c r="M298" s="364"/>
      <c r="N298" s="382"/>
      <c r="O298" s="364"/>
      <c r="P298" s="364"/>
      <c r="Q298" s="364"/>
      <c r="R298" s="382"/>
      <c r="S298" s="364"/>
      <c r="T298" s="382"/>
      <c r="U298" s="364"/>
      <c r="V298" s="382"/>
      <c r="W298" s="364"/>
      <c r="X298" s="382"/>
      <c r="Y298" s="364"/>
      <c r="Z298" s="382"/>
      <c r="AA298" s="364"/>
      <c r="AB298" s="364"/>
      <c r="AC298" s="364"/>
      <c r="AD298" s="382"/>
      <c r="AE298" s="364"/>
      <c r="AF298" s="382"/>
      <c r="AG298" s="364"/>
      <c r="AH298" s="382"/>
      <c r="AI298" s="364"/>
      <c r="AJ298" s="382"/>
      <c r="AK298" s="364"/>
      <c r="AL298" s="382"/>
      <c r="AM298" s="352"/>
    </row>
    <row r="299" spans="1:39" s="351" customFormat="1">
      <c r="A299" s="363"/>
      <c r="B299" s="363"/>
      <c r="C299" s="364"/>
      <c r="D299" s="364"/>
      <c r="E299" s="364"/>
      <c r="F299" s="364"/>
      <c r="G299" s="364"/>
      <c r="H299" s="382"/>
      <c r="I299" s="364"/>
      <c r="J299" s="382"/>
      <c r="K299" s="364"/>
      <c r="L299" s="364"/>
      <c r="M299" s="364"/>
      <c r="N299" s="382"/>
      <c r="O299" s="364"/>
      <c r="P299" s="364"/>
      <c r="Q299" s="364"/>
      <c r="R299" s="382"/>
      <c r="S299" s="364"/>
      <c r="T299" s="382"/>
      <c r="U299" s="364"/>
      <c r="V299" s="382"/>
      <c r="W299" s="364"/>
      <c r="X299" s="382"/>
      <c r="Y299" s="364"/>
      <c r="Z299" s="382"/>
      <c r="AA299" s="364"/>
      <c r="AB299" s="364"/>
      <c r="AC299" s="364"/>
      <c r="AD299" s="382"/>
      <c r="AE299" s="364"/>
      <c r="AF299" s="382"/>
      <c r="AG299" s="364"/>
      <c r="AH299" s="382"/>
      <c r="AI299" s="364"/>
      <c r="AJ299" s="382"/>
      <c r="AK299" s="364"/>
      <c r="AL299" s="382"/>
      <c r="AM299" s="352"/>
    </row>
    <row r="300" spans="1:39" s="351" customFormat="1">
      <c r="A300" s="363"/>
      <c r="B300" s="363"/>
      <c r="C300" s="364"/>
      <c r="D300" s="364"/>
      <c r="E300" s="364"/>
      <c r="F300" s="364"/>
      <c r="G300" s="364"/>
      <c r="H300" s="382"/>
      <c r="I300" s="364"/>
      <c r="J300" s="382"/>
      <c r="K300" s="364"/>
      <c r="L300" s="364"/>
      <c r="M300" s="364"/>
      <c r="N300" s="382"/>
      <c r="O300" s="364"/>
      <c r="P300" s="364"/>
      <c r="Q300" s="364"/>
      <c r="R300" s="382"/>
      <c r="S300" s="364"/>
      <c r="T300" s="382"/>
      <c r="U300" s="364"/>
      <c r="V300" s="382"/>
      <c r="W300" s="364"/>
      <c r="X300" s="382"/>
      <c r="Y300" s="364"/>
      <c r="Z300" s="382"/>
      <c r="AA300" s="364"/>
      <c r="AB300" s="364"/>
      <c r="AC300" s="364"/>
      <c r="AD300" s="382"/>
      <c r="AE300" s="364"/>
      <c r="AF300" s="382"/>
      <c r="AG300" s="364"/>
      <c r="AH300" s="382"/>
      <c r="AI300" s="364"/>
      <c r="AJ300" s="382"/>
      <c r="AK300" s="364"/>
      <c r="AL300" s="382"/>
      <c r="AM300" s="352"/>
    </row>
    <row r="301" spans="1:39" s="351" customFormat="1">
      <c r="A301" s="363"/>
      <c r="B301" s="363"/>
      <c r="C301" s="364"/>
      <c r="D301" s="364"/>
      <c r="E301" s="364"/>
      <c r="F301" s="364"/>
      <c r="G301" s="364"/>
      <c r="H301" s="382"/>
      <c r="I301" s="364"/>
      <c r="J301" s="382"/>
      <c r="K301" s="364"/>
      <c r="L301" s="364"/>
      <c r="M301" s="364"/>
      <c r="N301" s="382"/>
      <c r="O301" s="364"/>
      <c r="P301" s="364"/>
      <c r="Q301" s="364"/>
      <c r="R301" s="382"/>
      <c r="S301" s="364"/>
      <c r="T301" s="382"/>
      <c r="U301" s="364"/>
      <c r="V301" s="382"/>
      <c r="W301" s="364"/>
      <c r="X301" s="382"/>
      <c r="Y301" s="364"/>
      <c r="Z301" s="382"/>
      <c r="AA301" s="364"/>
      <c r="AB301" s="364"/>
      <c r="AC301" s="364"/>
      <c r="AD301" s="382"/>
      <c r="AE301" s="364"/>
      <c r="AF301" s="382"/>
      <c r="AG301" s="364"/>
      <c r="AH301" s="382"/>
      <c r="AI301" s="364"/>
      <c r="AJ301" s="382"/>
      <c r="AK301" s="364"/>
      <c r="AL301" s="382"/>
      <c r="AM301" s="352"/>
    </row>
    <row r="302" spans="1:39" s="351" customFormat="1">
      <c r="A302" s="363"/>
      <c r="B302" s="363"/>
      <c r="C302" s="364"/>
      <c r="D302" s="364"/>
      <c r="E302" s="364"/>
      <c r="F302" s="364"/>
      <c r="G302" s="364"/>
      <c r="H302" s="382"/>
      <c r="I302" s="364"/>
      <c r="J302" s="382"/>
      <c r="K302" s="364"/>
      <c r="L302" s="364"/>
      <c r="M302" s="364"/>
      <c r="N302" s="382"/>
      <c r="O302" s="364"/>
      <c r="P302" s="364"/>
      <c r="Q302" s="364"/>
      <c r="R302" s="382"/>
      <c r="S302" s="364"/>
      <c r="T302" s="382"/>
      <c r="U302" s="364"/>
      <c r="V302" s="382"/>
      <c r="W302" s="364"/>
      <c r="X302" s="382"/>
      <c r="Y302" s="364"/>
      <c r="Z302" s="382"/>
      <c r="AA302" s="364"/>
      <c r="AB302" s="364"/>
      <c r="AC302" s="364"/>
      <c r="AD302" s="382"/>
      <c r="AE302" s="364"/>
      <c r="AF302" s="382"/>
      <c r="AG302" s="364"/>
      <c r="AH302" s="382"/>
      <c r="AI302" s="364"/>
      <c r="AJ302" s="382"/>
      <c r="AK302" s="364"/>
      <c r="AL302" s="382"/>
      <c r="AM302" s="352"/>
    </row>
    <row r="303" spans="1:39" s="351" customFormat="1">
      <c r="A303" s="363"/>
      <c r="B303" s="363"/>
      <c r="C303" s="364"/>
      <c r="D303" s="364"/>
      <c r="E303" s="364"/>
      <c r="F303" s="364"/>
      <c r="G303" s="364"/>
      <c r="H303" s="382"/>
      <c r="I303" s="364"/>
      <c r="J303" s="382"/>
      <c r="K303" s="364"/>
      <c r="L303" s="364"/>
      <c r="M303" s="364"/>
      <c r="N303" s="382"/>
      <c r="O303" s="364"/>
      <c r="P303" s="364"/>
      <c r="Q303" s="364"/>
      <c r="R303" s="382"/>
      <c r="S303" s="364"/>
      <c r="T303" s="382"/>
      <c r="U303" s="364"/>
      <c r="V303" s="382"/>
      <c r="W303" s="364"/>
      <c r="X303" s="382"/>
      <c r="Y303" s="364"/>
      <c r="Z303" s="382"/>
      <c r="AA303" s="364"/>
      <c r="AB303" s="364"/>
      <c r="AC303" s="364"/>
      <c r="AD303" s="382"/>
      <c r="AE303" s="364"/>
      <c r="AF303" s="382"/>
      <c r="AG303" s="364"/>
      <c r="AH303" s="382"/>
      <c r="AI303" s="364"/>
      <c r="AJ303" s="382"/>
      <c r="AK303" s="364"/>
      <c r="AL303" s="382"/>
      <c r="AM303" s="352"/>
    </row>
    <row r="304" spans="1:39" s="351" customFormat="1">
      <c r="A304" s="363"/>
      <c r="B304" s="363"/>
      <c r="C304" s="364"/>
      <c r="D304" s="364"/>
      <c r="E304" s="364"/>
      <c r="F304" s="364"/>
      <c r="G304" s="364"/>
      <c r="H304" s="382"/>
      <c r="I304" s="364"/>
      <c r="J304" s="382"/>
      <c r="K304" s="364"/>
      <c r="L304" s="364"/>
      <c r="M304" s="364"/>
      <c r="N304" s="382"/>
      <c r="O304" s="364"/>
      <c r="P304" s="364"/>
      <c r="Q304" s="364"/>
      <c r="R304" s="382"/>
      <c r="S304" s="364"/>
      <c r="T304" s="382"/>
      <c r="U304" s="364"/>
      <c r="V304" s="382"/>
      <c r="W304" s="364"/>
      <c r="X304" s="382"/>
      <c r="Y304" s="364"/>
      <c r="Z304" s="382"/>
      <c r="AA304" s="364"/>
      <c r="AB304" s="364"/>
      <c r="AC304" s="364"/>
      <c r="AD304" s="382"/>
      <c r="AE304" s="364"/>
      <c r="AF304" s="382"/>
      <c r="AG304" s="364"/>
      <c r="AH304" s="382"/>
      <c r="AI304" s="364"/>
      <c r="AJ304" s="382"/>
      <c r="AK304" s="364"/>
      <c r="AL304" s="382"/>
      <c r="AM304" s="352"/>
    </row>
    <row r="305" spans="1:39" s="351" customFormat="1">
      <c r="A305" s="363"/>
      <c r="B305" s="363"/>
      <c r="C305" s="364"/>
      <c r="D305" s="364"/>
      <c r="E305" s="364"/>
      <c r="F305" s="364"/>
      <c r="G305" s="364"/>
      <c r="H305" s="382"/>
      <c r="I305" s="364"/>
      <c r="J305" s="382"/>
      <c r="K305" s="364"/>
      <c r="L305" s="364"/>
      <c r="M305" s="364"/>
      <c r="N305" s="382"/>
      <c r="O305" s="364"/>
      <c r="P305" s="364"/>
      <c r="Q305" s="364"/>
      <c r="R305" s="382"/>
      <c r="S305" s="364"/>
      <c r="T305" s="382"/>
      <c r="U305" s="364"/>
      <c r="V305" s="382"/>
      <c r="W305" s="364"/>
      <c r="X305" s="382"/>
      <c r="Y305" s="364"/>
      <c r="Z305" s="382"/>
      <c r="AA305" s="364"/>
      <c r="AB305" s="364"/>
      <c r="AC305" s="364"/>
      <c r="AD305" s="382"/>
      <c r="AE305" s="364"/>
      <c r="AF305" s="382"/>
      <c r="AG305" s="364"/>
      <c r="AH305" s="382"/>
      <c r="AI305" s="364"/>
      <c r="AJ305" s="382"/>
      <c r="AK305" s="364"/>
      <c r="AL305" s="382"/>
      <c r="AM305" s="352"/>
    </row>
    <row r="306" spans="1:39" s="351" customFormat="1">
      <c r="A306" s="363"/>
      <c r="B306" s="363"/>
      <c r="C306" s="364"/>
      <c r="D306" s="364"/>
      <c r="E306" s="364"/>
      <c r="F306" s="364"/>
      <c r="G306" s="364"/>
      <c r="H306" s="382"/>
      <c r="I306" s="364"/>
      <c r="J306" s="382"/>
      <c r="K306" s="364"/>
      <c r="L306" s="364"/>
      <c r="M306" s="364"/>
      <c r="N306" s="382"/>
      <c r="O306" s="364"/>
      <c r="P306" s="364"/>
      <c r="Q306" s="364"/>
      <c r="R306" s="382"/>
      <c r="S306" s="364"/>
      <c r="T306" s="382"/>
      <c r="U306" s="364"/>
      <c r="V306" s="382"/>
      <c r="W306" s="364"/>
      <c r="X306" s="382"/>
      <c r="Y306" s="364"/>
      <c r="Z306" s="382"/>
      <c r="AA306" s="364"/>
      <c r="AB306" s="364"/>
      <c r="AC306" s="364"/>
      <c r="AD306" s="382"/>
      <c r="AE306" s="364"/>
      <c r="AF306" s="382"/>
      <c r="AG306" s="364"/>
      <c r="AH306" s="382"/>
      <c r="AI306" s="364"/>
      <c r="AJ306" s="382"/>
      <c r="AK306" s="364"/>
      <c r="AL306" s="382"/>
      <c r="AM306" s="352"/>
    </row>
    <row r="307" spans="1:39" s="351" customFormat="1">
      <c r="A307" s="363"/>
      <c r="B307" s="363"/>
      <c r="C307" s="364"/>
      <c r="D307" s="364"/>
      <c r="E307" s="364"/>
      <c r="F307" s="364"/>
      <c r="G307" s="364"/>
      <c r="H307" s="382"/>
      <c r="I307" s="364"/>
      <c r="J307" s="382"/>
      <c r="K307" s="364"/>
      <c r="L307" s="364"/>
      <c r="M307" s="364"/>
      <c r="N307" s="382"/>
      <c r="O307" s="364"/>
      <c r="P307" s="364"/>
      <c r="Q307" s="364"/>
      <c r="R307" s="382"/>
      <c r="S307" s="364"/>
      <c r="T307" s="382"/>
      <c r="U307" s="364"/>
      <c r="V307" s="382"/>
      <c r="W307" s="364"/>
      <c r="X307" s="382"/>
      <c r="Y307" s="364"/>
      <c r="Z307" s="382"/>
      <c r="AA307" s="364"/>
      <c r="AB307" s="364"/>
      <c r="AC307" s="364"/>
      <c r="AD307" s="382"/>
      <c r="AE307" s="364"/>
      <c r="AF307" s="382"/>
      <c r="AG307" s="364"/>
      <c r="AH307" s="382"/>
      <c r="AI307" s="364"/>
      <c r="AJ307" s="382"/>
      <c r="AK307" s="364"/>
      <c r="AL307" s="382"/>
      <c r="AM307" s="352"/>
    </row>
    <row r="308" spans="1:39" s="351" customFormat="1">
      <c r="A308" s="363"/>
      <c r="B308" s="363"/>
      <c r="C308" s="364"/>
      <c r="D308" s="364"/>
      <c r="E308" s="364"/>
      <c r="F308" s="364"/>
      <c r="G308" s="364"/>
      <c r="H308" s="382"/>
      <c r="I308" s="364"/>
      <c r="J308" s="382"/>
      <c r="K308" s="364"/>
      <c r="L308" s="364"/>
      <c r="M308" s="364"/>
      <c r="N308" s="382"/>
      <c r="O308" s="364"/>
      <c r="P308" s="364"/>
      <c r="Q308" s="364"/>
      <c r="R308" s="382"/>
      <c r="S308" s="364"/>
      <c r="T308" s="382"/>
      <c r="U308" s="364"/>
      <c r="V308" s="382"/>
      <c r="W308" s="364"/>
      <c r="X308" s="382"/>
      <c r="Y308" s="364"/>
      <c r="Z308" s="382"/>
      <c r="AA308" s="364"/>
      <c r="AB308" s="364"/>
      <c r="AC308" s="364"/>
      <c r="AD308" s="382"/>
      <c r="AE308" s="364"/>
      <c r="AF308" s="382"/>
      <c r="AG308" s="364"/>
      <c r="AH308" s="382"/>
      <c r="AI308" s="364"/>
      <c r="AJ308" s="382"/>
      <c r="AK308" s="364"/>
      <c r="AL308" s="382"/>
      <c r="AM308" s="352"/>
    </row>
    <row r="309" spans="1:39" s="351" customFormat="1">
      <c r="A309" s="363"/>
      <c r="B309" s="363"/>
      <c r="C309" s="364"/>
      <c r="D309" s="364"/>
      <c r="E309" s="364"/>
      <c r="F309" s="364"/>
      <c r="G309" s="364"/>
      <c r="H309" s="382"/>
      <c r="I309" s="364"/>
      <c r="J309" s="382"/>
      <c r="K309" s="364"/>
      <c r="L309" s="364"/>
      <c r="M309" s="364"/>
      <c r="N309" s="382"/>
      <c r="O309" s="364"/>
      <c r="P309" s="364"/>
      <c r="Q309" s="364"/>
      <c r="R309" s="382"/>
      <c r="S309" s="364"/>
      <c r="T309" s="382"/>
      <c r="U309" s="364"/>
      <c r="V309" s="382"/>
      <c r="W309" s="364"/>
      <c r="X309" s="382"/>
      <c r="Y309" s="364"/>
      <c r="Z309" s="382"/>
      <c r="AA309" s="364"/>
      <c r="AB309" s="364"/>
      <c r="AC309" s="364"/>
      <c r="AD309" s="382"/>
      <c r="AE309" s="364"/>
      <c r="AF309" s="382"/>
      <c r="AG309" s="364"/>
      <c r="AH309" s="382"/>
      <c r="AI309" s="364"/>
      <c r="AJ309" s="382"/>
      <c r="AK309" s="364"/>
      <c r="AL309" s="382"/>
      <c r="AM309" s="352"/>
    </row>
    <row r="310" spans="1:39" s="351" customFormat="1">
      <c r="A310" s="363"/>
      <c r="B310" s="363"/>
      <c r="C310" s="364"/>
      <c r="D310" s="364"/>
      <c r="E310" s="364"/>
      <c r="F310" s="364"/>
      <c r="G310" s="364"/>
      <c r="H310" s="382"/>
      <c r="I310" s="364"/>
      <c r="J310" s="382"/>
      <c r="K310" s="364"/>
      <c r="L310" s="364"/>
      <c r="M310" s="364"/>
      <c r="N310" s="382"/>
      <c r="O310" s="364"/>
      <c r="P310" s="364"/>
      <c r="Q310" s="364"/>
      <c r="R310" s="382"/>
      <c r="S310" s="364"/>
      <c r="T310" s="382"/>
      <c r="U310" s="364"/>
      <c r="V310" s="382"/>
      <c r="W310" s="364"/>
      <c r="X310" s="382"/>
      <c r="Y310" s="364"/>
      <c r="Z310" s="382"/>
      <c r="AA310" s="364"/>
      <c r="AB310" s="364"/>
      <c r="AC310" s="364"/>
      <c r="AD310" s="382"/>
      <c r="AE310" s="364"/>
      <c r="AF310" s="382"/>
      <c r="AG310" s="364"/>
      <c r="AH310" s="382"/>
      <c r="AI310" s="364"/>
      <c r="AJ310" s="382"/>
      <c r="AK310" s="364"/>
      <c r="AL310" s="382"/>
      <c r="AM310" s="352"/>
    </row>
    <row r="311" spans="1:39" s="351" customFormat="1">
      <c r="A311" s="363"/>
      <c r="B311" s="363"/>
      <c r="C311" s="364"/>
      <c r="D311" s="364"/>
      <c r="E311" s="364"/>
      <c r="F311" s="364"/>
      <c r="G311" s="364"/>
      <c r="H311" s="382"/>
      <c r="I311" s="364"/>
      <c r="J311" s="382"/>
      <c r="K311" s="364"/>
      <c r="L311" s="364"/>
      <c r="M311" s="364"/>
      <c r="N311" s="382"/>
      <c r="O311" s="364"/>
      <c r="P311" s="364"/>
      <c r="Q311" s="364"/>
      <c r="R311" s="382"/>
      <c r="S311" s="364"/>
      <c r="T311" s="382"/>
      <c r="U311" s="364"/>
      <c r="V311" s="382"/>
      <c r="W311" s="364"/>
      <c r="X311" s="382"/>
      <c r="Y311" s="364"/>
      <c r="Z311" s="382"/>
      <c r="AA311" s="364"/>
      <c r="AB311" s="364"/>
      <c r="AC311" s="364"/>
      <c r="AD311" s="382"/>
      <c r="AE311" s="364"/>
      <c r="AF311" s="382"/>
      <c r="AG311" s="364"/>
      <c r="AH311" s="382"/>
      <c r="AI311" s="364"/>
      <c r="AJ311" s="382"/>
      <c r="AK311" s="364"/>
      <c r="AL311" s="382"/>
      <c r="AM311" s="352"/>
    </row>
    <row r="312" spans="1:39" s="351" customFormat="1">
      <c r="A312" s="363"/>
      <c r="B312" s="363"/>
      <c r="C312" s="364"/>
      <c r="D312" s="364"/>
      <c r="E312" s="364"/>
      <c r="F312" s="364"/>
      <c r="G312" s="364"/>
      <c r="H312" s="382"/>
      <c r="I312" s="364"/>
      <c r="J312" s="382"/>
      <c r="K312" s="364"/>
      <c r="L312" s="364"/>
      <c r="M312" s="364"/>
      <c r="N312" s="382"/>
      <c r="O312" s="364"/>
      <c r="P312" s="364"/>
      <c r="Q312" s="364"/>
      <c r="R312" s="382"/>
      <c r="S312" s="364"/>
      <c r="T312" s="382"/>
      <c r="U312" s="364"/>
      <c r="V312" s="382"/>
      <c r="W312" s="364"/>
      <c r="X312" s="382"/>
      <c r="Y312" s="364"/>
      <c r="Z312" s="382"/>
      <c r="AA312" s="364"/>
      <c r="AB312" s="364"/>
      <c r="AC312" s="364"/>
      <c r="AD312" s="382"/>
      <c r="AE312" s="364"/>
      <c r="AF312" s="382"/>
      <c r="AG312" s="364"/>
      <c r="AH312" s="382"/>
      <c r="AI312" s="364"/>
      <c r="AJ312" s="382"/>
      <c r="AK312" s="364"/>
      <c r="AL312" s="382"/>
      <c r="AM312" s="352"/>
    </row>
    <row r="313" spans="1:39" s="351" customFormat="1">
      <c r="A313" s="363"/>
      <c r="B313" s="363"/>
      <c r="C313" s="364"/>
      <c r="D313" s="364"/>
      <c r="E313" s="364"/>
      <c r="F313" s="364"/>
      <c r="G313" s="364"/>
      <c r="H313" s="382"/>
      <c r="I313" s="364"/>
      <c r="J313" s="382"/>
      <c r="K313" s="364"/>
      <c r="L313" s="364"/>
      <c r="M313" s="364"/>
      <c r="N313" s="382"/>
      <c r="O313" s="364"/>
      <c r="P313" s="364"/>
      <c r="Q313" s="364"/>
      <c r="R313" s="382"/>
      <c r="S313" s="364"/>
      <c r="T313" s="382"/>
      <c r="U313" s="364"/>
      <c r="V313" s="382"/>
      <c r="W313" s="364"/>
      <c r="X313" s="382"/>
      <c r="Y313" s="364"/>
      <c r="Z313" s="382"/>
      <c r="AA313" s="364"/>
      <c r="AB313" s="364"/>
      <c r="AC313" s="364"/>
      <c r="AD313" s="382"/>
      <c r="AE313" s="364"/>
      <c r="AF313" s="382"/>
      <c r="AG313" s="364"/>
      <c r="AH313" s="382"/>
      <c r="AI313" s="364"/>
      <c r="AJ313" s="382"/>
      <c r="AK313" s="364"/>
      <c r="AL313" s="382"/>
      <c r="AM313" s="352"/>
    </row>
    <row r="314" spans="1:39" s="351" customFormat="1">
      <c r="A314" s="363"/>
      <c r="B314" s="363"/>
      <c r="C314" s="364"/>
      <c r="D314" s="364"/>
      <c r="E314" s="364"/>
      <c r="F314" s="364"/>
      <c r="G314" s="364"/>
      <c r="H314" s="382"/>
      <c r="I314" s="364"/>
      <c r="J314" s="382"/>
      <c r="K314" s="364"/>
      <c r="L314" s="364"/>
      <c r="M314" s="364"/>
      <c r="N314" s="382"/>
      <c r="O314" s="364"/>
      <c r="P314" s="364"/>
      <c r="Q314" s="364"/>
      <c r="R314" s="382"/>
      <c r="S314" s="364"/>
      <c r="T314" s="382"/>
      <c r="U314" s="364"/>
      <c r="V314" s="382"/>
      <c r="W314" s="364"/>
      <c r="X314" s="382"/>
      <c r="Y314" s="364"/>
      <c r="Z314" s="382"/>
      <c r="AA314" s="364"/>
      <c r="AB314" s="364"/>
      <c r="AC314" s="364"/>
      <c r="AD314" s="382"/>
      <c r="AE314" s="364"/>
      <c r="AF314" s="382"/>
      <c r="AG314" s="364"/>
      <c r="AH314" s="382"/>
      <c r="AI314" s="364"/>
      <c r="AJ314" s="382"/>
      <c r="AK314" s="364"/>
      <c r="AL314" s="382"/>
      <c r="AM314" s="352"/>
    </row>
    <row r="315" spans="1:39" s="351" customFormat="1">
      <c r="A315" s="363"/>
      <c r="B315" s="363"/>
      <c r="C315" s="364"/>
      <c r="D315" s="364"/>
      <c r="E315" s="364"/>
      <c r="F315" s="364"/>
      <c r="G315" s="364"/>
      <c r="H315" s="382"/>
      <c r="I315" s="364"/>
      <c r="J315" s="382"/>
      <c r="K315" s="364"/>
      <c r="L315" s="364"/>
      <c r="M315" s="364"/>
      <c r="N315" s="382"/>
      <c r="O315" s="364"/>
      <c r="P315" s="364"/>
      <c r="Q315" s="364"/>
      <c r="R315" s="382"/>
      <c r="S315" s="364"/>
      <c r="T315" s="382"/>
      <c r="U315" s="364"/>
      <c r="V315" s="382"/>
      <c r="W315" s="364"/>
      <c r="X315" s="382"/>
      <c r="Y315" s="364"/>
      <c r="Z315" s="382"/>
      <c r="AA315" s="364"/>
      <c r="AB315" s="364"/>
      <c r="AC315" s="364"/>
      <c r="AD315" s="382"/>
      <c r="AE315" s="364"/>
      <c r="AF315" s="382"/>
      <c r="AG315" s="364"/>
      <c r="AH315" s="382"/>
      <c r="AI315" s="364"/>
      <c r="AJ315" s="382"/>
      <c r="AK315" s="364"/>
      <c r="AL315" s="382"/>
      <c r="AM315" s="352"/>
    </row>
    <row r="316" spans="1:39" s="351" customFormat="1">
      <c r="A316" s="363"/>
      <c r="B316" s="363"/>
      <c r="C316" s="364"/>
      <c r="D316" s="364"/>
      <c r="E316" s="364"/>
      <c r="F316" s="364"/>
      <c r="G316" s="364"/>
      <c r="H316" s="382"/>
      <c r="I316" s="364"/>
      <c r="J316" s="382"/>
      <c r="K316" s="364"/>
      <c r="L316" s="364"/>
      <c r="M316" s="364"/>
      <c r="N316" s="382"/>
      <c r="O316" s="364"/>
      <c r="P316" s="364"/>
      <c r="Q316" s="364"/>
      <c r="R316" s="382"/>
      <c r="S316" s="364"/>
      <c r="T316" s="382"/>
      <c r="U316" s="364"/>
      <c r="V316" s="382"/>
      <c r="W316" s="364"/>
      <c r="X316" s="382"/>
      <c r="Y316" s="364"/>
      <c r="Z316" s="382"/>
      <c r="AA316" s="364"/>
      <c r="AB316" s="364"/>
      <c r="AC316" s="364"/>
      <c r="AD316" s="382"/>
      <c r="AE316" s="364"/>
      <c r="AF316" s="382"/>
      <c r="AG316" s="364"/>
      <c r="AH316" s="382"/>
      <c r="AI316" s="364"/>
      <c r="AJ316" s="382"/>
      <c r="AK316" s="364"/>
      <c r="AL316" s="382"/>
      <c r="AM316" s="352"/>
    </row>
    <row r="317" spans="1:39" s="351" customFormat="1">
      <c r="A317" s="363"/>
      <c r="B317" s="363"/>
      <c r="C317" s="364"/>
      <c r="D317" s="364"/>
      <c r="E317" s="364"/>
      <c r="F317" s="364"/>
      <c r="G317" s="364"/>
      <c r="H317" s="382"/>
      <c r="I317" s="364"/>
      <c r="J317" s="382"/>
      <c r="K317" s="364"/>
      <c r="L317" s="364"/>
      <c r="M317" s="364"/>
      <c r="N317" s="382"/>
      <c r="O317" s="364"/>
      <c r="P317" s="364"/>
      <c r="Q317" s="364"/>
      <c r="R317" s="382"/>
      <c r="S317" s="364"/>
      <c r="T317" s="382"/>
      <c r="U317" s="364"/>
      <c r="V317" s="382"/>
      <c r="W317" s="364"/>
      <c r="X317" s="382"/>
      <c r="Y317" s="364"/>
      <c r="Z317" s="382"/>
      <c r="AA317" s="364"/>
      <c r="AB317" s="364"/>
      <c r="AC317" s="364"/>
      <c r="AD317" s="382"/>
      <c r="AE317" s="364"/>
      <c r="AF317" s="382"/>
      <c r="AG317" s="364"/>
      <c r="AH317" s="382"/>
      <c r="AI317" s="364"/>
      <c r="AJ317" s="382"/>
      <c r="AK317" s="364"/>
      <c r="AL317" s="382"/>
      <c r="AM317" s="352"/>
    </row>
    <row r="318" spans="1:39" s="351" customFormat="1">
      <c r="A318" s="363"/>
      <c r="B318" s="363"/>
      <c r="C318" s="364"/>
      <c r="D318" s="364"/>
      <c r="E318" s="364"/>
      <c r="F318" s="364"/>
      <c r="G318" s="364"/>
      <c r="H318" s="382"/>
      <c r="I318" s="364"/>
      <c r="J318" s="382"/>
      <c r="K318" s="364"/>
      <c r="L318" s="364"/>
      <c r="M318" s="364"/>
      <c r="N318" s="382"/>
      <c r="O318" s="364"/>
      <c r="P318" s="364"/>
      <c r="Q318" s="364"/>
      <c r="R318" s="382"/>
      <c r="S318" s="364"/>
      <c r="T318" s="382"/>
      <c r="U318" s="364"/>
      <c r="V318" s="382"/>
      <c r="W318" s="364"/>
      <c r="X318" s="382"/>
      <c r="Y318" s="364"/>
      <c r="Z318" s="382"/>
      <c r="AA318" s="364"/>
      <c r="AB318" s="364"/>
      <c r="AC318" s="364"/>
      <c r="AD318" s="382"/>
      <c r="AE318" s="364"/>
      <c r="AF318" s="382"/>
      <c r="AG318" s="364"/>
      <c r="AH318" s="382"/>
      <c r="AI318" s="364"/>
      <c r="AJ318" s="382"/>
      <c r="AK318" s="364"/>
      <c r="AL318" s="382"/>
      <c r="AM318" s="352"/>
    </row>
    <row r="319" spans="1:39" s="351" customFormat="1">
      <c r="A319" s="363"/>
      <c r="B319" s="363"/>
      <c r="C319" s="364"/>
      <c r="D319" s="364"/>
      <c r="E319" s="364"/>
      <c r="F319" s="364"/>
      <c r="G319" s="364"/>
      <c r="H319" s="382"/>
      <c r="I319" s="364"/>
      <c r="J319" s="382"/>
      <c r="K319" s="364"/>
      <c r="L319" s="364"/>
      <c r="M319" s="364"/>
      <c r="N319" s="382"/>
      <c r="O319" s="364"/>
      <c r="P319" s="364"/>
      <c r="Q319" s="364"/>
      <c r="R319" s="382"/>
      <c r="S319" s="364"/>
      <c r="T319" s="382"/>
      <c r="U319" s="364"/>
      <c r="V319" s="382"/>
      <c r="W319" s="364"/>
      <c r="X319" s="382"/>
      <c r="Y319" s="364"/>
      <c r="Z319" s="382"/>
      <c r="AA319" s="364"/>
      <c r="AB319" s="364"/>
      <c r="AC319" s="364"/>
      <c r="AD319" s="382"/>
      <c r="AE319" s="364"/>
      <c r="AF319" s="382"/>
      <c r="AG319" s="364"/>
      <c r="AH319" s="382"/>
      <c r="AI319" s="364"/>
      <c r="AJ319" s="382"/>
      <c r="AK319" s="364"/>
      <c r="AL319" s="382"/>
      <c r="AM319" s="352"/>
    </row>
    <row r="320" spans="1:39" s="351" customFormat="1">
      <c r="A320" s="363"/>
      <c r="B320" s="363"/>
      <c r="C320" s="364"/>
      <c r="D320" s="364"/>
      <c r="E320" s="364"/>
      <c r="F320" s="364"/>
      <c r="G320" s="364"/>
      <c r="H320" s="382"/>
      <c r="I320" s="364"/>
      <c r="J320" s="382"/>
      <c r="K320" s="364"/>
      <c r="L320" s="364"/>
      <c r="M320" s="364"/>
      <c r="N320" s="382"/>
      <c r="O320" s="364"/>
      <c r="P320" s="364"/>
      <c r="Q320" s="364"/>
      <c r="R320" s="382"/>
      <c r="S320" s="364"/>
      <c r="T320" s="382"/>
      <c r="U320" s="364"/>
      <c r="V320" s="382"/>
      <c r="W320" s="364"/>
      <c r="X320" s="382"/>
      <c r="Y320" s="364"/>
      <c r="Z320" s="382"/>
      <c r="AA320" s="364"/>
      <c r="AB320" s="364"/>
      <c r="AC320" s="364"/>
      <c r="AD320" s="382"/>
      <c r="AE320" s="364"/>
      <c r="AF320" s="382"/>
      <c r="AG320" s="364"/>
      <c r="AH320" s="382"/>
      <c r="AI320" s="364"/>
      <c r="AJ320" s="382"/>
      <c r="AK320" s="364"/>
      <c r="AL320" s="382"/>
      <c r="AM320" s="352"/>
    </row>
    <row r="321" spans="1:39" s="351" customFormat="1">
      <c r="A321" s="363"/>
      <c r="B321" s="363"/>
      <c r="C321" s="364"/>
      <c r="D321" s="364"/>
      <c r="E321" s="364"/>
      <c r="F321" s="364"/>
      <c r="G321" s="364"/>
      <c r="H321" s="382"/>
      <c r="I321" s="364"/>
      <c r="J321" s="382"/>
      <c r="K321" s="364"/>
      <c r="L321" s="364"/>
      <c r="M321" s="364"/>
      <c r="N321" s="382"/>
      <c r="O321" s="364"/>
      <c r="P321" s="364"/>
      <c r="Q321" s="364"/>
      <c r="R321" s="382"/>
      <c r="S321" s="364"/>
      <c r="T321" s="382"/>
      <c r="U321" s="364"/>
      <c r="V321" s="382"/>
      <c r="W321" s="364"/>
      <c r="X321" s="382"/>
      <c r="Y321" s="364"/>
      <c r="Z321" s="382"/>
      <c r="AA321" s="364"/>
      <c r="AB321" s="364"/>
      <c r="AC321" s="364"/>
      <c r="AD321" s="382"/>
      <c r="AE321" s="364"/>
      <c r="AF321" s="382"/>
      <c r="AG321" s="364"/>
      <c r="AH321" s="382"/>
      <c r="AI321" s="364"/>
      <c r="AJ321" s="382"/>
      <c r="AK321" s="364"/>
      <c r="AL321" s="382"/>
      <c r="AM321" s="352"/>
    </row>
    <row r="322" spans="1:39" s="351" customFormat="1">
      <c r="A322" s="363"/>
      <c r="B322" s="363"/>
      <c r="C322" s="364"/>
      <c r="D322" s="364"/>
      <c r="E322" s="364"/>
      <c r="F322" s="364"/>
      <c r="G322" s="364"/>
      <c r="H322" s="382"/>
      <c r="I322" s="364"/>
      <c r="J322" s="382"/>
      <c r="K322" s="364"/>
      <c r="L322" s="364"/>
      <c r="M322" s="364"/>
      <c r="N322" s="382"/>
      <c r="O322" s="364"/>
      <c r="P322" s="364"/>
      <c r="Q322" s="364"/>
      <c r="R322" s="382"/>
      <c r="S322" s="364"/>
      <c r="T322" s="382"/>
      <c r="U322" s="364"/>
      <c r="V322" s="382"/>
      <c r="W322" s="364"/>
      <c r="X322" s="382"/>
      <c r="Y322" s="364"/>
      <c r="Z322" s="382"/>
      <c r="AA322" s="364"/>
      <c r="AB322" s="364"/>
      <c r="AC322" s="364"/>
      <c r="AD322" s="382"/>
      <c r="AE322" s="364"/>
      <c r="AF322" s="382"/>
      <c r="AG322" s="364"/>
      <c r="AH322" s="382"/>
      <c r="AI322" s="364"/>
      <c r="AJ322" s="382"/>
      <c r="AK322" s="364"/>
      <c r="AL322" s="382"/>
      <c r="AM322" s="352"/>
    </row>
    <row r="323" spans="1:39" s="351" customFormat="1">
      <c r="A323" s="363"/>
      <c r="B323" s="363"/>
      <c r="C323" s="364"/>
      <c r="D323" s="364"/>
      <c r="E323" s="364"/>
      <c r="F323" s="364"/>
      <c r="G323" s="364"/>
      <c r="H323" s="382"/>
      <c r="I323" s="364"/>
      <c r="J323" s="382"/>
      <c r="K323" s="364"/>
      <c r="L323" s="364"/>
      <c r="M323" s="364"/>
      <c r="N323" s="382"/>
      <c r="O323" s="364"/>
      <c r="P323" s="364"/>
      <c r="Q323" s="364"/>
      <c r="R323" s="382"/>
      <c r="S323" s="364"/>
      <c r="T323" s="382"/>
      <c r="U323" s="364"/>
      <c r="V323" s="382"/>
      <c r="W323" s="364"/>
      <c r="X323" s="382"/>
      <c r="Y323" s="364"/>
      <c r="Z323" s="382"/>
      <c r="AA323" s="364"/>
      <c r="AB323" s="364"/>
      <c r="AC323" s="364"/>
      <c r="AD323" s="382"/>
      <c r="AE323" s="364"/>
      <c r="AF323" s="382"/>
      <c r="AG323" s="364"/>
      <c r="AH323" s="382"/>
      <c r="AI323" s="364"/>
      <c r="AJ323" s="382"/>
      <c r="AK323" s="364"/>
      <c r="AL323" s="382"/>
      <c r="AM323" s="352"/>
    </row>
    <row r="324" spans="1:39" s="351" customFormat="1">
      <c r="A324" s="363"/>
      <c r="B324" s="363"/>
      <c r="C324" s="364"/>
      <c r="D324" s="364"/>
      <c r="E324" s="364"/>
      <c r="F324" s="364"/>
      <c r="G324" s="364"/>
      <c r="H324" s="382"/>
      <c r="I324" s="364"/>
      <c r="J324" s="382"/>
      <c r="K324" s="364"/>
      <c r="L324" s="364"/>
      <c r="M324" s="364"/>
      <c r="N324" s="382"/>
      <c r="O324" s="364"/>
      <c r="P324" s="364"/>
      <c r="Q324" s="364"/>
      <c r="R324" s="382"/>
      <c r="S324" s="364"/>
      <c r="T324" s="382"/>
      <c r="U324" s="364"/>
      <c r="V324" s="382"/>
      <c r="W324" s="364"/>
      <c r="X324" s="382"/>
      <c r="Y324" s="364"/>
      <c r="Z324" s="382"/>
      <c r="AA324" s="364"/>
      <c r="AB324" s="364"/>
      <c r="AC324" s="364"/>
      <c r="AD324" s="382"/>
      <c r="AE324" s="364"/>
      <c r="AF324" s="382"/>
      <c r="AG324" s="364"/>
      <c r="AH324" s="382"/>
      <c r="AI324" s="364"/>
      <c r="AJ324" s="382"/>
      <c r="AK324" s="364"/>
      <c r="AL324" s="382"/>
      <c r="AM324" s="352"/>
    </row>
    <row r="325" spans="1:39" s="351" customFormat="1">
      <c r="A325" s="363"/>
      <c r="B325" s="363"/>
      <c r="C325" s="364"/>
      <c r="D325" s="364"/>
      <c r="E325" s="364"/>
      <c r="F325" s="364"/>
      <c r="G325" s="364"/>
      <c r="H325" s="382"/>
      <c r="I325" s="364"/>
      <c r="J325" s="382"/>
      <c r="K325" s="364"/>
      <c r="L325" s="364"/>
      <c r="M325" s="364"/>
      <c r="N325" s="382"/>
      <c r="O325" s="364"/>
      <c r="P325" s="364"/>
      <c r="Q325" s="364"/>
      <c r="R325" s="382"/>
      <c r="S325" s="364"/>
      <c r="T325" s="382"/>
      <c r="U325" s="364"/>
      <c r="V325" s="382"/>
      <c r="W325" s="364"/>
      <c r="X325" s="382"/>
      <c r="Y325" s="364"/>
      <c r="Z325" s="382"/>
      <c r="AA325" s="364"/>
      <c r="AB325" s="364"/>
      <c r="AC325" s="364"/>
      <c r="AD325" s="382"/>
      <c r="AE325" s="364"/>
      <c r="AF325" s="382"/>
      <c r="AG325" s="364"/>
      <c r="AH325" s="382"/>
      <c r="AI325" s="364"/>
      <c r="AJ325" s="382"/>
      <c r="AK325" s="364"/>
      <c r="AL325" s="382"/>
      <c r="AM325" s="352"/>
    </row>
    <row r="326" spans="1:39" s="351" customFormat="1">
      <c r="A326" s="363"/>
      <c r="B326" s="363"/>
      <c r="C326" s="364"/>
      <c r="D326" s="364"/>
      <c r="E326" s="364"/>
      <c r="F326" s="364"/>
      <c r="G326" s="364"/>
      <c r="H326" s="382"/>
      <c r="I326" s="364"/>
      <c r="J326" s="382"/>
      <c r="K326" s="364"/>
      <c r="L326" s="364"/>
      <c r="M326" s="364"/>
      <c r="N326" s="382"/>
      <c r="O326" s="364"/>
      <c r="P326" s="364"/>
      <c r="Q326" s="364"/>
      <c r="R326" s="382"/>
      <c r="S326" s="364"/>
      <c r="T326" s="382"/>
      <c r="U326" s="364"/>
      <c r="V326" s="382"/>
      <c r="W326" s="364"/>
      <c r="X326" s="382"/>
      <c r="Y326" s="364"/>
      <c r="Z326" s="382"/>
      <c r="AA326" s="364"/>
      <c r="AB326" s="364"/>
      <c r="AC326" s="364"/>
      <c r="AD326" s="382"/>
      <c r="AE326" s="364"/>
      <c r="AF326" s="382"/>
      <c r="AG326" s="364"/>
      <c r="AH326" s="382"/>
      <c r="AI326" s="364"/>
      <c r="AJ326" s="382"/>
      <c r="AK326" s="364"/>
      <c r="AL326" s="382"/>
      <c r="AM326" s="352"/>
    </row>
    <row r="327" spans="1:39" s="351" customFormat="1">
      <c r="A327" s="363"/>
      <c r="B327" s="363"/>
      <c r="C327" s="364"/>
      <c r="D327" s="364"/>
      <c r="E327" s="364"/>
      <c r="F327" s="364"/>
      <c r="G327" s="364"/>
      <c r="H327" s="382"/>
      <c r="I327" s="364"/>
      <c r="J327" s="382"/>
      <c r="K327" s="364"/>
      <c r="L327" s="364"/>
      <c r="M327" s="364"/>
      <c r="N327" s="382"/>
      <c r="O327" s="364"/>
      <c r="P327" s="364"/>
      <c r="Q327" s="364"/>
      <c r="R327" s="382"/>
      <c r="S327" s="364"/>
      <c r="T327" s="382"/>
      <c r="U327" s="364"/>
      <c r="V327" s="382"/>
      <c r="W327" s="364"/>
      <c r="X327" s="382"/>
      <c r="Y327" s="364"/>
      <c r="Z327" s="382"/>
      <c r="AA327" s="364"/>
      <c r="AB327" s="364"/>
      <c r="AC327" s="364"/>
      <c r="AD327" s="382"/>
      <c r="AE327" s="364"/>
      <c r="AF327" s="382"/>
      <c r="AG327" s="364"/>
      <c r="AH327" s="382"/>
      <c r="AI327" s="364"/>
      <c r="AJ327" s="382"/>
      <c r="AK327" s="364"/>
      <c r="AL327" s="382"/>
      <c r="AM327" s="352"/>
    </row>
    <row r="328" spans="1:39" s="351" customFormat="1">
      <c r="A328" s="363"/>
      <c r="B328" s="363"/>
      <c r="C328" s="364"/>
      <c r="D328" s="364"/>
      <c r="E328" s="364"/>
      <c r="F328" s="364"/>
      <c r="G328" s="364"/>
      <c r="H328" s="382"/>
      <c r="I328" s="364"/>
      <c r="J328" s="382"/>
      <c r="K328" s="364"/>
      <c r="L328" s="364"/>
      <c r="M328" s="364"/>
      <c r="N328" s="382"/>
      <c r="O328" s="364"/>
      <c r="P328" s="364"/>
      <c r="Q328" s="364"/>
      <c r="R328" s="382"/>
      <c r="S328" s="364"/>
      <c r="T328" s="382"/>
      <c r="U328" s="364"/>
      <c r="V328" s="382"/>
      <c r="W328" s="364"/>
      <c r="X328" s="382"/>
      <c r="Y328" s="364"/>
      <c r="Z328" s="382"/>
      <c r="AA328" s="364"/>
      <c r="AB328" s="364"/>
      <c r="AC328" s="364"/>
      <c r="AD328" s="382"/>
      <c r="AE328" s="364"/>
      <c r="AF328" s="382"/>
      <c r="AG328" s="364"/>
      <c r="AH328" s="382"/>
      <c r="AI328" s="364"/>
      <c r="AJ328" s="382"/>
      <c r="AK328" s="364"/>
      <c r="AL328" s="382"/>
      <c r="AM328" s="352"/>
    </row>
    <row r="329" spans="1:39" s="351" customFormat="1">
      <c r="A329" s="363"/>
      <c r="B329" s="363"/>
      <c r="C329" s="364"/>
      <c r="D329" s="364"/>
      <c r="E329" s="364"/>
      <c r="F329" s="364"/>
      <c r="G329" s="364"/>
      <c r="H329" s="382"/>
      <c r="I329" s="364"/>
      <c r="J329" s="382"/>
      <c r="K329" s="364"/>
      <c r="L329" s="364"/>
      <c r="M329" s="364"/>
      <c r="N329" s="382"/>
      <c r="O329" s="364"/>
      <c r="P329" s="364"/>
      <c r="Q329" s="364"/>
      <c r="R329" s="382"/>
      <c r="S329" s="364"/>
      <c r="T329" s="382"/>
      <c r="U329" s="364"/>
      <c r="V329" s="382"/>
      <c r="W329" s="364"/>
      <c r="X329" s="382"/>
      <c r="Y329" s="364"/>
      <c r="Z329" s="382"/>
      <c r="AA329" s="364"/>
      <c r="AB329" s="364"/>
      <c r="AC329" s="364"/>
      <c r="AD329" s="382"/>
      <c r="AE329" s="364"/>
      <c r="AF329" s="382"/>
      <c r="AG329" s="364"/>
      <c r="AH329" s="382"/>
      <c r="AI329" s="364"/>
      <c r="AJ329" s="382"/>
      <c r="AK329" s="364"/>
      <c r="AL329" s="382"/>
      <c r="AM329" s="352"/>
    </row>
    <row r="330" spans="1:39" s="351" customFormat="1">
      <c r="A330" s="363"/>
      <c r="B330" s="363"/>
      <c r="C330" s="364"/>
      <c r="D330" s="364"/>
      <c r="E330" s="364"/>
      <c r="F330" s="364"/>
      <c r="G330" s="364"/>
      <c r="H330" s="382"/>
      <c r="I330" s="364"/>
      <c r="J330" s="382"/>
      <c r="K330" s="364"/>
      <c r="L330" s="364"/>
      <c r="M330" s="364"/>
      <c r="N330" s="382"/>
      <c r="O330" s="364"/>
      <c r="P330" s="364"/>
      <c r="Q330" s="364"/>
      <c r="R330" s="382"/>
      <c r="S330" s="364"/>
      <c r="T330" s="382"/>
      <c r="U330" s="364"/>
      <c r="V330" s="382"/>
      <c r="W330" s="364"/>
      <c r="X330" s="382"/>
      <c r="Y330" s="364"/>
      <c r="Z330" s="382"/>
      <c r="AA330" s="364"/>
      <c r="AB330" s="364"/>
      <c r="AC330" s="364"/>
      <c r="AD330" s="382"/>
      <c r="AE330" s="364"/>
      <c r="AF330" s="382"/>
      <c r="AG330" s="364"/>
      <c r="AH330" s="382"/>
      <c r="AI330" s="364"/>
      <c r="AJ330" s="382"/>
      <c r="AK330" s="364"/>
      <c r="AL330" s="382"/>
      <c r="AM330" s="352"/>
    </row>
    <row r="331" spans="1:39" s="351" customFormat="1">
      <c r="A331" s="363"/>
      <c r="B331" s="363"/>
      <c r="C331" s="364"/>
      <c r="D331" s="364"/>
      <c r="E331" s="364"/>
      <c r="F331" s="364"/>
      <c r="G331" s="364"/>
      <c r="H331" s="382"/>
      <c r="I331" s="364"/>
      <c r="J331" s="382"/>
      <c r="K331" s="364"/>
      <c r="L331" s="364"/>
      <c r="M331" s="364"/>
      <c r="N331" s="382"/>
      <c r="O331" s="364"/>
      <c r="P331" s="364"/>
      <c r="Q331" s="364"/>
      <c r="R331" s="382"/>
      <c r="S331" s="364"/>
      <c r="T331" s="382"/>
      <c r="U331" s="364"/>
      <c r="V331" s="382"/>
      <c r="W331" s="364"/>
      <c r="X331" s="382"/>
      <c r="Y331" s="364"/>
      <c r="Z331" s="382"/>
      <c r="AA331" s="364"/>
      <c r="AB331" s="364"/>
      <c r="AC331" s="364"/>
      <c r="AD331" s="382"/>
      <c r="AE331" s="364"/>
      <c r="AF331" s="382"/>
      <c r="AG331" s="364"/>
      <c r="AH331" s="382"/>
      <c r="AI331" s="364"/>
      <c r="AJ331" s="382"/>
      <c r="AK331" s="364"/>
      <c r="AL331" s="382"/>
      <c r="AM331" s="352"/>
    </row>
    <row r="332" spans="1:39" s="351" customFormat="1">
      <c r="A332" s="363"/>
      <c r="B332" s="363"/>
      <c r="C332" s="364"/>
      <c r="D332" s="364"/>
      <c r="E332" s="364"/>
      <c r="F332" s="364"/>
      <c r="G332" s="364"/>
      <c r="H332" s="382"/>
      <c r="I332" s="364"/>
      <c r="J332" s="382"/>
      <c r="K332" s="364"/>
      <c r="L332" s="364"/>
      <c r="M332" s="364"/>
      <c r="N332" s="382"/>
      <c r="O332" s="364"/>
      <c r="P332" s="364"/>
      <c r="Q332" s="364"/>
      <c r="R332" s="382"/>
      <c r="S332" s="364"/>
      <c r="T332" s="382"/>
      <c r="U332" s="364"/>
      <c r="V332" s="382"/>
      <c r="W332" s="364"/>
      <c r="X332" s="382"/>
      <c r="Y332" s="364"/>
      <c r="Z332" s="382"/>
      <c r="AA332" s="364"/>
      <c r="AB332" s="364"/>
      <c r="AC332" s="364"/>
      <c r="AD332" s="382"/>
      <c r="AE332" s="364"/>
      <c r="AF332" s="382"/>
      <c r="AG332" s="364"/>
      <c r="AH332" s="382"/>
      <c r="AI332" s="364"/>
      <c r="AJ332" s="382"/>
      <c r="AK332" s="364"/>
      <c r="AL332" s="382"/>
      <c r="AM332" s="352"/>
    </row>
    <row r="333" spans="1:39" s="351" customFormat="1">
      <c r="A333" s="363"/>
      <c r="B333" s="363"/>
      <c r="C333" s="364"/>
      <c r="D333" s="364"/>
      <c r="E333" s="364"/>
      <c r="F333" s="364"/>
      <c r="G333" s="364"/>
      <c r="H333" s="382"/>
      <c r="I333" s="364"/>
      <c r="J333" s="382"/>
      <c r="K333" s="364"/>
      <c r="L333" s="364"/>
      <c r="M333" s="364"/>
      <c r="N333" s="382"/>
      <c r="O333" s="364"/>
      <c r="P333" s="364"/>
      <c r="Q333" s="364"/>
      <c r="R333" s="382"/>
      <c r="S333" s="364"/>
      <c r="T333" s="382"/>
      <c r="U333" s="364"/>
      <c r="V333" s="382"/>
      <c r="W333" s="364"/>
      <c r="X333" s="382"/>
      <c r="Y333" s="364"/>
      <c r="Z333" s="382"/>
      <c r="AA333" s="364"/>
      <c r="AB333" s="364"/>
      <c r="AC333" s="364"/>
      <c r="AD333" s="382"/>
      <c r="AE333" s="364"/>
      <c r="AF333" s="382"/>
      <c r="AG333" s="364"/>
      <c r="AH333" s="382"/>
      <c r="AI333" s="364"/>
      <c r="AJ333" s="382"/>
      <c r="AK333" s="364"/>
      <c r="AL333" s="382"/>
      <c r="AM333" s="352"/>
    </row>
    <row r="334" spans="1:39" s="351" customFormat="1">
      <c r="A334" s="363"/>
      <c r="B334" s="363"/>
      <c r="C334" s="364"/>
      <c r="D334" s="364"/>
      <c r="E334" s="364"/>
      <c r="F334" s="364"/>
      <c r="G334" s="364"/>
      <c r="H334" s="382"/>
      <c r="I334" s="364"/>
      <c r="J334" s="382"/>
      <c r="K334" s="364"/>
      <c r="L334" s="364"/>
      <c r="M334" s="364"/>
      <c r="N334" s="382"/>
      <c r="O334" s="364"/>
      <c r="P334" s="364"/>
      <c r="Q334" s="364"/>
      <c r="R334" s="382"/>
      <c r="S334" s="364"/>
      <c r="T334" s="382"/>
      <c r="U334" s="364"/>
      <c r="V334" s="382"/>
      <c r="W334" s="364"/>
      <c r="X334" s="382"/>
      <c r="Y334" s="364"/>
      <c r="Z334" s="382"/>
      <c r="AA334" s="364"/>
      <c r="AB334" s="364"/>
      <c r="AC334" s="364"/>
      <c r="AD334" s="382"/>
      <c r="AE334" s="364"/>
      <c r="AF334" s="382"/>
      <c r="AG334" s="364"/>
      <c r="AH334" s="382"/>
      <c r="AI334" s="364"/>
      <c r="AJ334" s="382"/>
      <c r="AK334" s="364"/>
      <c r="AL334" s="382"/>
      <c r="AM334" s="352"/>
    </row>
    <row r="335" spans="1:39" s="351" customFormat="1">
      <c r="A335" s="363"/>
      <c r="B335" s="363"/>
      <c r="C335" s="364"/>
      <c r="D335" s="364"/>
      <c r="E335" s="364"/>
      <c r="F335" s="364"/>
      <c r="G335" s="364"/>
      <c r="H335" s="382"/>
      <c r="I335" s="364"/>
      <c r="J335" s="382"/>
      <c r="K335" s="364"/>
      <c r="L335" s="364"/>
      <c r="M335" s="364"/>
      <c r="N335" s="382"/>
      <c r="O335" s="364"/>
      <c r="P335" s="364"/>
      <c r="Q335" s="364"/>
      <c r="R335" s="382"/>
      <c r="S335" s="364"/>
      <c r="T335" s="382"/>
      <c r="U335" s="364"/>
      <c r="V335" s="382"/>
      <c r="W335" s="364"/>
      <c r="X335" s="382"/>
      <c r="Y335" s="364"/>
      <c r="Z335" s="382"/>
      <c r="AA335" s="364"/>
      <c r="AB335" s="364"/>
      <c r="AC335" s="364"/>
      <c r="AD335" s="382"/>
      <c r="AE335" s="364"/>
      <c r="AF335" s="382"/>
      <c r="AG335" s="364"/>
      <c r="AH335" s="382"/>
      <c r="AI335" s="364"/>
      <c r="AJ335" s="382"/>
      <c r="AK335" s="364"/>
      <c r="AL335" s="382"/>
      <c r="AM335" s="352"/>
    </row>
    <row r="336" spans="1:39" s="351" customFormat="1">
      <c r="A336" s="363"/>
      <c r="B336" s="363"/>
      <c r="C336" s="364"/>
      <c r="D336" s="364"/>
      <c r="E336" s="364"/>
      <c r="F336" s="364"/>
      <c r="G336" s="364"/>
      <c r="H336" s="382"/>
      <c r="I336" s="364"/>
      <c r="J336" s="382"/>
      <c r="K336" s="364"/>
      <c r="L336" s="364"/>
      <c r="M336" s="364"/>
      <c r="N336" s="382"/>
      <c r="O336" s="364"/>
      <c r="P336" s="364"/>
      <c r="Q336" s="364"/>
      <c r="R336" s="382"/>
      <c r="S336" s="364"/>
      <c r="T336" s="382"/>
      <c r="U336" s="364"/>
      <c r="V336" s="382"/>
      <c r="W336" s="364"/>
      <c r="X336" s="382"/>
      <c r="Y336" s="364"/>
      <c r="Z336" s="382"/>
      <c r="AA336" s="364"/>
      <c r="AB336" s="364"/>
      <c r="AC336" s="364"/>
      <c r="AD336" s="382"/>
      <c r="AE336" s="364"/>
      <c r="AF336" s="382"/>
      <c r="AG336" s="364"/>
      <c r="AH336" s="382"/>
      <c r="AI336" s="364"/>
      <c r="AJ336" s="382"/>
      <c r="AK336" s="364"/>
      <c r="AL336" s="382"/>
      <c r="AM336" s="352"/>
    </row>
    <row r="337" spans="1:39" s="351" customFormat="1">
      <c r="A337" s="363"/>
      <c r="B337" s="363"/>
      <c r="C337" s="364"/>
      <c r="D337" s="364"/>
      <c r="E337" s="364"/>
      <c r="F337" s="364"/>
      <c r="G337" s="364"/>
      <c r="H337" s="382"/>
      <c r="I337" s="364"/>
      <c r="J337" s="382"/>
      <c r="K337" s="364"/>
      <c r="L337" s="364"/>
      <c r="M337" s="364"/>
      <c r="N337" s="382"/>
      <c r="O337" s="364"/>
      <c r="P337" s="364"/>
      <c r="Q337" s="364"/>
      <c r="R337" s="382"/>
      <c r="S337" s="364"/>
      <c r="T337" s="382"/>
      <c r="U337" s="364"/>
      <c r="V337" s="382"/>
      <c r="W337" s="364"/>
      <c r="X337" s="382"/>
      <c r="Y337" s="364"/>
      <c r="Z337" s="382"/>
      <c r="AA337" s="364"/>
      <c r="AB337" s="364"/>
      <c r="AC337" s="364"/>
      <c r="AD337" s="382"/>
      <c r="AE337" s="364"/>
      <c r="AF337" s="382"/>
      <c r="AG337" s="364"/>
      <c r="AH337" s="382"/>
      <c r="AI337" s="364"/>
      <c r="AJ337" s="382"/>
      <c r="AK337" s="364"/>
      <c r="AL337" s="382"/>
      <c r="AM337" s="352"/>
    </row>
    <row r="338" spans="1:39" s="351" customFormat="1">
      <c r="A338" s="363"/>
      <c r="B338" s="363"/>
      <c r="C338" s="364"/>
      <c r="D338" s="364"/>
      <c r="E338" s="364"/>
      <c r="F338" s="364"/>
      <c r="G338" s="364"/>
      <c r="H338" s="382"/>
      <c r="I338" s="364"/>
      <c r="J338" s="382"/>
      <c r="K338" s="364"/>
      <c r="L338" s="364"/>
      <c r="M338" s="364"/>
      <c r="N338" s="382"/>
      <c r="O338" s="364"/>
      <c r="P338" s="364"/>
      <c r="Q338" s="364"/>
      <c r="R338" s="382"/>
      <c r="S338" s="364"/>
      <c r="T338" s="382"/>
      <c r="U338" s="364"/>
      <c r="V338" s="382"/>
      <c r="W338" s="364"/>
      <c r="X338" s="382"/>
      <c r="Y338" s="364"/>
      <c r="Z338" s="382"/>
      <c r="AA338" s="364"/>
      <c r="AB338" s="364"/>
      <c r="AC338" s="364"/>
      <c r="AD338" s="382"/>
      <c r="AE338" s="364"/>
      <c r="AF338" s="382"/>
      <c r="AG338" s="364"/>
      <c r="AH338" s="382"/>
      <c r="AI338" s="364"/>
      <c r="AJ338" s="382"/>
      <c r="AK338" s="364"/>
      <c r="AL338" s="382"/>
      <c r="AM338" s="352"/>
    </row>
    <row r="339" spans="1:39" s="351" customFormat="1">
      <c r="A339" s="363"/>
      <c r="B339" s="363"/>
      <c r="C339" s="364"/>
      <c r="D339" s="364"/>
      <c r="E339" s="364"/>
      <c r="F339" s="364"/>
      <c r="G339" s="364"/>
      <c r="H339" s="382"/>
      <c r="I339" s="364"/>
      <c r="J339" s="382"/>
      <c r="K339" s="364"/>
      <c r="L339" s="364"/>
      <c r="M339" s="364"/>
      <c r="N339" s="382"/>
      <c r="O339" s="364"/>
      <c r="P339" s="364"/>
      <c r="Q339" s="364"/>
      <c r="R339" s="382"/>
      <c r="S339" s="364"/>
      <c r="T339" s="382"/>
      <c r="U339" s="364"/>
      <c r="V339" s="382"/>
      <c r="W339" s="364"/>
      <c r="X339" s="382"/>
      <c r="Y339" s="364"/>
      <c r="Z339" s="382"/>
      <c r="AA339" s="364"/>
      <c r="AB339" s="364"/>
      <c r="AC339" s="364"/>
      <c r="AD339" s="382"/>
      <c r="AE339" s="364"/>
      <c r="AF339" s="382"/>
      <c r="AG339" s="364"/>
      <c r="AH339" s="382"/>
      <c r="AI339" s="364"/>
      <c r="AJ339" s="382"/>
      <c r="AK339" s="364"/>
      <c r="AL339" s="382"/>
      <c r="AM339" s="352"/>
    </row>
    <row r="340" spans="1:39" s="351" customFormat="1">
      <c r="A340" s="363"/>
      <c r="B340" s="363"/>
      <c r="C340" s="364"/>
      <c r="D340" s="364"/>
      <c r="E340" s="364"/>
      <c r="F340" s="364"/>
      <c r="G340" s="364"/>
      <c r="H340" s="382"/>
      <c r="I340" s="364"/>
      <c r="J340" s="382"/>
      <c r="K340" s="364"/>
      <c r="L340" s="364"/>
      <c r="M340" s="364"/>
      <c r="N340" s="382"/>
      <c r="O340" s="364"/>
      <c r="P340" s="364"/>
      <c r="Q340" s="364"/>
      <c r="R340" s="382"/>
      <c r="S340" s="364"/>
      <c r="T340" s="382"/>
      <c r="U340" s="364"/>
      <c r="V340" s="382"/>
      <c r="W340" s="364"/>
      <c r="X340" s="382"/>
      <c r="Y340" s="364"/>
      <c r="Z340" s="382"/>
      <c r="AA340" s="364"/>
      <c r="AB340" s="364"/>
      <c r="AC340" s="364"/>
      <c r="AD340" s="382"/>
      <c r="AE340" s="364"/>
      <c r="AF340" s="382"/>
      <c r="AG340" s="364"/>
      <c r="AH340" s="382"/>
      <c r="AI340" s="364"/>
      <c r="AJ340" s="382"/>
      <c r="AK340" s="364"/>
      <c r="AL340" s="382"/>
      <c r="AM340" s="352"/>
    </row>
    <row r="341" spans="1:39" s="351" customFormat="1">
      <c r="A341" s="363"/>
      <c r="B341" s="363"/>
      <c r="C341" s="364"/>
      <c r="D341" s="364"/>
      <c r="E341" s="364"/>
      <c r="F341" s="364"/>
      <c r="G341" s="364"/>
      <c r="H341" s="382"/>
      <c r="I341" s="364"/>
      <c r="J341" s="382"/>
      <c r="K341" s="364"/>
      <c r="L341" s="364"/>
      <c r="M341" s="364"/>
      <c r="N341" s="382"/>
      <c r="O341" s="364"/>
      <c r="P341" s="364"/>
      <c r="Q341" s="364"/>
      <c r="R341" s="382"/>
      <c r="S341" s="364"/>
      <c r="T341" s="382"/>
      <c r="U341" s="364"/>
      <c r="V341" s="382"/>
      <c r="W341" s="364"/>
      <c r="X341" s="382"/>
      <c r="Y341" s="364"/>
      <c r="Z341" s="382"/>
      <c r="AA341" s="364"/>
      <c r="AB341" s="364"/>
      <c r="AC341" s="364"/>
      <c r="AD341" s="382"/>
      <c r="AE341" s="364"/>
      <c r="AF341" s="382"/>
      <c r="AG341" s="364"/>
      <c r="AH341" s="382"/>
      <c r="AI341" s="364"/>
      <c r="AJ341" s="382"/>
      <c r="AK341" s="364"/>
      <c r="AL341" s="382"/>
      <c r="AM341" s="352"/>
    </row>
    <row r="342" spans="1:39" s="351" customFormat="1">
      <c r="A342" s="363"/>
      <c r="B342" s="363"/>
      <c r="C342" s="364"/>
      <c r="D342" s="364"/>
      <c r="E342" s="364"/>
      <c r="F342" s="364"/>
      <c r="G342" s="364"/>
      <c r="H342" s="382"/>
      <c r="I342" s="364"/>
      <c r="J342" s="382"/>
      <c r="K342" s="364"/>
      <c r="L342" s="364"/>
      <c r="M342" s="364"/>
      <c r="N342" s="382"/>
      <c r="O342" s="364"/>
      <c r="P342" s="364"/>
      <c r="Q342" s="364"/>
      <c r="R342" s="382"/>
      <c r="S342" s="364"/>
      <c r="T342" s="382"/>
      <c r="U342" s="364"/>
      <c r="V342" s="382"/>
      <c r="W342" s="364"/>
      <c r="X342" s="382"/>
      <c r="Y342" s="364"/>
      <c r="Z342" s="382"/>
      <c r="AA342" s="364"/>
      <c r="AB342" s="364"/>
      <c r="AC342" s="364"/>
      <c r="AD342" s="382"/>
      <c r="AE342" s="364"/>
      <c r="AF342" s="382"/>
      <c r="AG342" s="364"/>
      <c r="AH342" s="382"/>
      <c r="AI342" s="364"/>
      <c r="AJ342" s="382"/>
      <c r="AK342" s="364"/>
      <c r="AL342" s="382"/>
      <c r="AM342" s="352"/>
    </row>
    <row r="343" spans="1:39" s="351" customFormat="1">
      <c r="A343" s="363"/>
      <c r="B343" s="363"/>
      <c r="C343" s="364"/>
      <c r="D343" s="364"/>
      <c r="E343" s="364"/>
      <c r="F343" s="364"/>
      <c r="G343" s="364"/>
      <c r="H343" s="382"/>
      <c r="I343" s="364"/>
      <c r="J343" s="382"/>
      <c r="K343" s="364"/>
      <c r="L343" s="364"/>
      <c r="M343" s="364"/>
      <c r="N343" s="382"/>
      <c r="O343" s="364"/>
      <c r="P343" s="364"/>
      <c r="Q343" s="364"/>
      <c r="R343" s="382"/>
      <c r="S343" s="364"/>
      <c r="T343" s="382"/>
      <c r="U343" s="364"/>
      <c r="V343" s="382"/>
      <c r="W343" s="364"/>
      <c r="X343" s="382"/>
      <c r="Y343" s="364"/>
      <c r="Z343" s="382"/>
      <c r="AA343" s="364"/>
      <c r="AB343" s="364"/>
      <c r="AC343" s="364"/>
      <c r="AD343" s="382"/>
      <c r="AE343" s="364"/>
      <c r="AF343" s="382"/>
      <c r="AG343" s="364"/>
      <c r="AH343" s="382"/>
      <c r="AI343" s="364"/>
      <c r="AJ343" s="382"/>
      <c r="AK343" s="364"/>
      <c r="AL343" s="382"/>
      <c r="AM343" s="352"/>
    </row>
    <row r="344" spans="1:39" s="351" customFormat="1">
      <c r="A344" s="363"/>
      <c r="B344" s="363"/>
      <c r="C344" s="364"/>
      <c r="D344" s="364"/>
      <c r="E344" s="364"/>
      <c r="F344" s="364"/>
      <c r="G344" s="364"/>
      <c r="H344" s="382"/>
      <c r="I344" s="364"/>
      <c r="J344" s="382"/>
      <c r="K344" s="364"/>
      <c r="L344" s="364"/>
      <c r="M344" s="364"/>
      <c r="N344" s="382"/>
      <c r="O344" s="364"/>
      <c r="P344" s="364"/>
      <c r="Q344" s="364"/>
      <c r="R344" s="382"/>
      <c r="S344" s="364"/>
      <c r="T344" s="382"/>
      <c r="U344" s="364"/>
      <c r="V344" s="382"/>
      <c r="W344" s="364"/>
      <c r="X344" s="382"/>
      <c r="Y344" s="364"/>
      <c r="Z344" s="382"/>
      <c r="AA344" s="364"/>
      <c r="AB344" s="364"/>
      <c r="AC344" s="364"/>
      <c r="AD344" s="382"/>
      <c r="AE344" s="364"/>
      <c r="AF344" s="382"/>
      <c r="AG344" s="364"/>
      <c r="AH344" s="382"/>
      <c r="AI344" s="364"/>
      <c r="AJ344" s="382"/>
      <c r="AK344" s="364"/>
      <c r="AL344" s="382"/>
      <c r="AM344" s="352"/>
    </row>
    <row r="345" spans="1:39" s="351" customFormat="1">
      <c r="A345" s="363"/>
      <c r="B345" s="363"/>
      <c r="C345" s="364"/>
      <c r="D345" s="364"/>
      <c r="E345" s="364"/>
      <c r="F345" s="364"/>
      <c r="G345" s="364"/>
      <c r="H345" s="382"/>
      <c r="I345" s="364"/>
      <c r="J345" s="382"/>
      <c r="K345" s="364"/>
      <c r="L345" s="364"/>
      <c r="M345" s="364"/>
      <c r="N345" s="382"/>
      <c r="O345" s="364"/>
      <c r="P345" s="364"/>
      <c r="Q345" s="364"/>
      <c r="R345" s="382"/>
      <c r="S345" s="364"/>
      <c r="T345" s="382"/>
      <c r="U345" s="364"/>
      <c r="V345" s="382"/>
      <c r="W345" s="364"/>
      <c r="X345" s="382"/>
      <c r="Y345" s="364"/>
      <c r="Z345" s="382"/>
      <c r="AA345" s="364"/>
      <c r="AB345" s="364"/>
      <c r="AC345" s="364"/>
      <c r="AD345" s="382"/>
      <c r="AE345" s="364"/>
      <c r="AF345" s="382"/>
      <c r="AG345" s="364"/>
      <c r="AH345" s="382"/>
      <c r="AI345" s="364"/>
      <c r="AJ345" s="382"/>
      <c r="AK345" s="364"/>
      <c r="AL345" s="382"/>
      <c r="AM345" s="352"/>
    </row>
    <row r="346" spans="1:39" s="351" customFormat="1">
      <c r="A346" s="363"/>
      <c r="B346" s="363"/>
      <c r="C346" s="364"/>
      <c r="D346" s="364"/>
      <c r="E346" s="364"/>
      <c r="F346" s="364"/>
      <c r="G346" s="364"/>
      <c r="H346" s="382"/>
      <c r="I346" s="364"/>
      <c r="J346" s="382"/>
      <c r="K346" s="364"/>
      <c r="L346" s="364"/>
      <c r="M346" s="364"/>
      <c r="N346" s="382"/>
      <c r="O346" s="364"/>
      <c r="P346" s="364"/>
      <c r="Q346" s="364"/>
      <c r="R346" s="382"/>
      <c r="S346" s="364"/>
      <c r="T346" s="382"/>
      <c r="U346" s="364"/>
      <c r="V346" s="382"/>
      <c r="W346" s="364"/>
      <c r="X346" s="382"/>
      <c r="Y346" s="364"/>
      <c r="Z346" s="382"/>
      <c r="AA346" s="364"/>
      <c r="AB346" s="364"/>
      <c r="AC346" s="364"/>
      <c r="AD346" s="382"/>
      <c r="AE346" s="364"/>
      <c r="AF346" s="382"/>
      <c r="AG346" s="364"/>
      <c r="AH346" s="382"/>
      <c r="AI346" s="364"/>
      <c r="AJ346" s="382"/>
      <c r="AK346" s="364"/>
      <c r="AL346" s="382"/>
      <c r="AM346" s="352"/>
    </row>
    <row r="347" spans="1:39" s="351" customFormat="1">
      <c r="A347" s="363"/>
      <c r="B347" s="363"/>
      <c r="C347" s="364"/>
      <c r="D347" s="364"/>
      <c r="E347" s="364"/>
      <c r="F347" s="364"/>
      <c r="G347" s="364"/>
      <c r="H347" s="382"/>
      <c r="I347" s="364"/>
      <c r="J347" s="382"/>
      <c r="K347" s="364"/>
      <c r="L347" s="364"/>
      <c r="M347" s="364"/>
      <c r="N347" s="382"/>
      <c r="O347" s="364"/>
      <c r="P347" s="364"/>
      <c r="Q347" s="364"/>
      <c r="R347" s="382"/>
      <c r="S347" s="364"/>
      <c r="T347" s="382"/>
      <c r="U347" s="364"/>
      <c r="V347" s="382"/>
      <c r="W347" s="364"/>
      <c r="X347" s="382"/>
      <c r="Y347" s="364"/>
      <c r="Z347" s="382"/>
      <c r="AA347" s="364"/>
      <c r="AB347" s="364"/>
      <c r="AC347" s="364"/>
      <c r="AD347" s="382"/>
      <c r="AE347" s="364"/>
      <c r="AF347" s="382"/>
      <c r="AG347" s="364"/>
      <c r="AH347" s="382"/>
      <c r="AI347" s="364"/>
      <c r="AJ347" s="382"/>
      <c r="AK347" s="364"/>
      <c r="AL347" s="382"/>
      <c r="AM347" s="352"/>
    </row>
    <row r="348" spans="1:39" s="351" customFormat="1">
      <c r="A348" s="363"/>
      <c r="B348" s="363"/>
      <c r="C348" s="364"/>
      <c r="D348" s="364"/>
      <c r="E348" s="364"/>
      <c r="F348" s="364"/>
      <c r="G348" s="364"/>
      <c r="H348" s="382"/>
      <c r="I348" s="364"/>
      <c r="J348" s="382"/>
      <c r="K348" s="364"/>
      <c r="L348" s="364"/>
      <c r="M348" s="364"/>
      <c r="N348" s="382"/>
      <c r="O348" s="364"/>
      <c r="P348" s="364"/>
      <c r="Q348" s="364"/>
      <c r="R348" s="382"/>
      <c r="S348" s="364"/>
      <c r="T348" s="382"/>
      <c r="U348" s="364"/>
      <c r="V348" s="382"/>
      <c r="W348" s="364"/>
      <c r="X348" s="382"/>
      <c r="Y348" s="364"/>
      <c r="Z348" s="382"/>
      <c r="AA348" s="364"/>
      <c r="AB348" s="364"/>
      <c r="AC348" s="364"/>
      <c r="AD348" s="382"/>
      <c r="AE348" s="364"/>
      <c r="AF348" s="382"/>
      <c r="AG348" s="364"/>
      <c r="AH348" s="382"/>
      <c r="AI348" s="364"/>
      <c r="AJ348" s="382"/>
      <c r="AK348" s="364"/>
      <c r="AL348" s="382"/>
      <c r="AM348" s="352"/>
    </row>
    <row r="349" spans="1:39" s="351" customFormat="1">
      <c r="A349" s="363"/>
      <c r="B349" s="363"/>
      <c r="C349" s="364"/>
      <c r="D349" s="364"/>
      <c r="E349" s="364"/>
      <c r="F349" s="364"/>
      <c r="G349" s="364"/>
      <c r="H349" s="382"/>
      <c r="I349" s="364"/>
      <c r="J349" s="382"/>
      <c r="K349" s="364"/>
      <c r="L349" s="364"/>
      <c r="M349" s="364"/>
      <c r="N349" s="382"/>
      <c r="O349" s="364"/>
      <c r="P349" s="364"/>
      <c r="Q349" s="364"/>
      <c r="R349" s="382"/>
      <c r="S349" s="364"/>
      <c r="T349" s="382"/>
      <c r="U349" s="364"/>
      <c r="V349" s="382"/>
      <c r="W349" s="364"/>
      <c r="X349" s="382"/>
      <c r="Y349" s="364"/>
      <c r="Z349" s="382"/>
      <c r="AA349" s="364"/>
      <c r="AB349" s="364"/>
      <c r="AC349" s="364"/>
      <c r="AD349" s="382"/>
      <c r="AE349" s="364"/>
      <c r="AF349" s="382"/>
      <c r="AG349" s="364"/>
      <c r="AH349" s="382"/>
      <c r="AI349" s="364"/>
      <c r="AJ349" s="382"/>
      <c r="AK349" s="364"/>
      <c r="AL349" s="382"/>
      <c r="AM349" s="352"/>
    </row>
    <row r="350" spans="1:39" s="351" customFormat="1">
      <c r="A350" s="363"/>
      <c r="B350" s="363"/>
      <c r="C350" s="364"/>
      <c r="D350" s="364"/>
      <c r="E350" s="364"/>
      <c r="F350" s="364"/>
      <c r="G350" s="364"/>
      <c r="H350" s="382"/>
      <c r="I350" s="364"/>
      <c r="J350" s="382"/>
      <c r="K350" s="364"/>
      <c r="L350" s="364"/>
      <c r="M350" s="364"/>
      <c r="N350" s="382"/>
      <c r="O350" s="364"/>
      <c r="P350" s="364"/>
      <c r="Q350" s="364"/>
      <c r="R350" s="382"/>
      <c r="S350" s="364"/>
      <c r="T350" s="382"/>
      <c r="U350" s="364"/>
      <c r="V350" s="382"/>
      <c r="W350" s="364"/>
      <c r="X350" s="382"/>
      <c r="Y350" s="364"/>
      <c r="Z350" s="382"/>
      <c r="AA350" s="364"/>
      <c r="AB350" s="364"/>
      <c r="AC350" s="364"/>
      <c r="AD350" s="382"/>
      <c r="AE350" s="364"/>
      <c r="AF350" s="382"/>
      <c r="AG350" s="364"/>
      <c r="AH350" s="382"/>
      <c r="AI350" s="364"/>
      <c r="AJ350" s="382"/>
      <c r="AK350" s="364"/>
      <c r="AL350" s="382"/>
      <c r="AM350" s="352"/>
    </row>
    <row r="351" spans="1:39" s="351" customFormat="1">
      <c r="A351" s="363"/>
      <c r="B351" s="363"/>
      <c r="C351" s="364"/>
      <c r="D351" s="364"/>
      <c r="E351" s="364"/>
      <c r="F351" s="364"/>
      <c r="G351" s="364"/>
      <c r="H351" s="382"/>
      <c r="I351" s="364"/>
      <c r="J351" s="382"/>
      <c r="K351" s="364"/>
      <c r="L351" s="364"/>
      <c r="M351" s="364"/>
      <c r="N351" s="382"/>
      <c r="O351" s="364"/>
      <c r="P351" s="364"/>
      <c r="Q351" s="364"/>
      <c r="R351" s="382"/>
      <c r="S351" s="364"/>
      <c r="T351" s="382"/>
      <c r="U351" s="364"/>
      <c r="V351" s="382"/>
      <c r="W351" s="364"/>
      <c r="X351" s="382"/>
      <c r="Y351" s="364"/>
      <c r="Z351" s="382"/>
      <c r="AA351" s="364"/>
      <c r="AB351" s="364"/>
      <c r="AC351" s="364"/>
      <c r="AD351" s="382"/>
      <c r="AE351" s="364"/>
      <c r="AF351" s="382"/>
      <c r="AG351" s="364"/>
      <c r="AH351" s="382"/>
      <c r="AI351" s="364"/>
      <c r="AJ351" s="382"/>
      <c r="AK351" s="364"/>
      <c r="AL351" s="382"/>
      <c r="AM351" s="352"/>
    </row>
    <row r="352" spans="1:39" s="351" customFormat="1">
      <c r="A352" s="363"/>
      <c r="B352" s="363"/>
      <c r="C352" s="364"/>
      <c r="D352" s="364"/>
      <c r="E352" s="364"/>
      <c r="F352" s="364"/>
      <c r="G352" s="364"/>
      <c r="H352" s="382"/>
      <c r="I352" s="364"/>
      <c r="J352" s="382"/>
      <c r="K352" s="364"/>
      <c r="L352" s="364"/>
      <c r="M352" s="364"/>
      <c r="N352" s="382"/>
      <c r="O352" s="364"/>
      <c r="P352" s="364"/>
      <c r="Q352" s="364"/>
      <c r="R352" s="382"/>
      <c r="S352" s="364"/>
      <c r="T352" s="382"/>
      <c r="U352" s="364"/>
      <c r="V352" s="382"/>
      <c r="W352" s="364"/>
      <c r="X352" s="382"/>
      <c r="Y352" s="364"/>
      <c r="Z352" s="382"/>
      <c r="AA352" s="364"/>
      <c r="AB352" s="364"/>
      <c r="AC352" s="364"/>
      <c r="AD352" s="382"/>
      <c r="AE352" s="364"/>
      <c r="AF352" s="382"/>
      <c r="AG352" s="364"/>
      <c r="AH352" s="382"/>
      <c r="AI352" s="364"/>
      <c r="AJ352" s="382"/>
      <c r="AK352" s="364"/>
      <c r="AL352" s="382"/>
      <c r="AM352" s="352"/>
    </row>
    <row r="353" spans="1:39" s="351" customFormat="1">
      <c r="A353" s="363"/>
      <c r="B353" s="363"/>
      <c r="C353" s="364"/>
      <c r="D353" s="364"/>
      <c r="E353" s="364"/>
      <c r="F353" s="364"/>
      <c r="G353" s="364"/>
      <c r="H353" s="382"/>
      <c r="I353" s="364"/>
      <c r="J353" s="382"/>
      <c r="K353" s="364"/>
      <c r="L353" s="364"/>
      <c r="M353" s="364"/>
      <c r="N353" s="382"/>
      <c r="O353" s="364"/>
      <c r="P353" s="364"/>
      <c r="Q353" s="364"/>
      <c r="R353" s="382"/>
      <c r="S353" s="364"/>
      <c r="T353" s="382"/>
      <c r="U353" s="364"/>
      <c r="V353" s="382"/>
      <c r="W353" s="364"/>
      <c r="X353" s="382"/>
      <c r="Y353" s="364"/>
      <c r="Z353" s="382"/>
      <c r="AA353" s="364"/>
      <c r="AB353" s="364"/>
      <c r="AC353" s="364"/>
      <c r="AD353" s="382"/>
      <c r="AE353" s="364"/>
      <c r="AF353" s="382"/>
      <c r="AG353" s="364"/>
      <c r="AH353" s="382"/>
      <c r="AI353" s="364"/>
      <c r="AJ353" s="382"/>
      <c r="AK353" s="364"/>
      <c r="AL353" s="382"/>
      <c r="AM353" s="352"/>
    </row>
    <row r="354" spans="1:39" s="351" customFormat="1">
      <c r="A354" s="363"/>
      <c r="B354" s="363"/>
      <c r="C354" s="364"/>
      <c r="D354" s="364"/>
      <c r="E354" s="364"/>
      <c r="F354" s="364"/>
      <c r="G354" s="364"/>
      <c r="H354" s="382"/>
      <c r="I354" s="364"/>
      <c r="J354" s="382"/>
      <c r="K354" s="364"/>
      <c r="L354" s="364"/>
      <c r="M354" s="364"/>
      <c r="N354" s="382"/>
      <c r="O354" s="364"/>
      <c r="P354" s="364"/>
      <c r="Q354" s="364"/>
      <c r="R354" s="382"/>
      <c r="S354" s="364"/>
      <c r="T354" s="382"/>
      <c r="U354" s="364"/>
      <c r="V354" s="382"/>
      <c r="W354" s="364"/>
      <c r="X354" s="382"/>
      <c r="Y354" s="364"/>
      <c r="Z354" s="382"/>
      <c r="AA354" s="364"/>
      <c r="AB354" s="364"/>
      <c r="AC354" s="364"/>
      <c r="AD354" s="382"/>
      <c r="AE354" s="364"/>
      <c r="AF354" s="382"/>
      <c r="AG354" s="364"/>
      <c r="AH354" s="382"/>
      <c r="AI354" s="364"/>
      <c r="AJ354" s="382"/>
      <c r="AK354" s="364"/>
      <c r="AL354" s="382"/>
      <c r="AM354" s="352"/>
    </row>
    <row r="355" spans="1:39" s="351" customFormat="1">
      <c r="A355" s="363"/>
      <c r="B355" s="363"/>
      <c r="C355" s="364"/>
      <c r="D355" s="364"/>
      <c r="E355" s="364"/>
      <c r="F355" s="364"/>
      <c r="G355" s="364"/>
      <c r="H355" s="382"/>
      <c r="I355" s="364"/>
      <c r="J355" s="382"/>
      <c r="K355" s="364"/>
      <c r="L355" s="364"/>
      <c r="M355" s="364"/>
      <c r="N355" s="382"/>
      <c r="O355" s="364"/>
      <c r="P355" s="364"/>
      <c r="Q355" s="364"/>
      <c r="R355" s="382"/>
      <c r="S355" s="364"/>
      <c r="T355" s="382"/>
      <c r="U355" s="364"/>
      <c r="V355" s="382"/>
      <c r="W355" s="364"/>
      <c r="X355" s="382"/>
      <c r="Y355" s="364"/>
      <c r="Z355" s="382"/>
      <c r="AA355" s="364"/>
      <c r="AB355" s="364"/>
      <c r="AC355" s="364"/>
      <c r="AD355" s="382"/>
      <c r="AE355" s="364"/>
      <c r="AF355" s="382"/>
      <c r="AG355" s="364"/>
      <c r="AH355" s="382"/>
      <c r="AI355" s="364"/>
      <c r="AJ355" s="382"/>
      <c r="AK355" s="364"/>
      <c r="AL355" s="382"/>
      <c r="AM355" s="352"/>
    </row>
    <row r="356" spans="1:39" s="351" customFormat="1">
      <c r="A356" s="363"/>
      <c r="B356" s="363"/>
      <c r="C356" s="364"/>
      <c r="D356" s="364"/>
      <c r="E356" s="364"/>
      <c r="F356" s="364"/>
      <c r="G356" s="364"/>
      <c r="H356" s="382"/>
      <c r="I356" s="364"/>
      <c r="J356" s="382"/>
      <c r="K356" s="364"/>
      <c r="L356" s="364"/>
      <c r="M356" s="364"/>
      <c r="N356" s="382"/>
      <c r="O356" s="364"/>
      <c r="P356" s="364"/>
      <c r="Q356" s="364"/>
      <c r="R356" s="382"/>
      <c r="S356" s="364"/>
      <c r="T356" s="382"/>
      <c r="U356" s="364"/>
      <c r="V356" s="382"/>
      <c r="W356" s="364"/>
      <c r="X356" s="382"/>
      <c r="Y356" s="364"/>
      <c r="Z356" s="382"/>
      <c r="AA356" s="364"/>
      <c r="AB356" s="364"/>
      <c r="AC356" s="364"/>
      <c r="AD356" s="382"/>
      <c r="AE356" s="364"/>
      <c r="AF356" s="382"/>
      <c r="AG356" s="364"/>
      <c r="AH356" s="382"/>
      <c r="AI356" s="364"/>
      <c r="AJ356" s="382"/>
      <c r="AK356" s="364"/>
      <c r="AL356" s="382"/>
      <c r="AM356" s="352"/>
    </row>
    <row r="357" spans="1:39" s="351" customFormat="1">
      <c r="A357" s="363"/>
      <c r="B357" s="363"/>
      <c r="C357" s="364"/>
      <c r="D357" s="364"/>
      <c r="E357" s="364"/>
      <c r="F357" s="364"/>
      <c r="G357" s="364"/>
      <c r="H357" s="382"/>
      <c r="I357" s="364"/>
      <c r="J357" s="382"/>
      <c r="K357" s="364"/>
      <c r="L357" s="364"/>
      <c r="M357" s="364"/>
      <c r="N357" s="382"/>
      <c r="O357" s="364"/>
      <c r="P357" s="364"/>
      <c r="Q357" s="364"/>
      <c r="R357" s="382"/>
      <c r="S357" s="364"/>
      <c r="T357" s="382"/>
      <c r="U357" s="364"/>
      <c r="V357" s="382"/>
      <c r="W357" s="364"/>
      <c r="X357" s="382"/>
      <c r="Y357" s="364"/>
      <c r="Z357" s="382"/>
      <c r="AA357" s="364"/>
      <c r="AB357" s="364"/>
      <c r="AC357" s="364"/>
      <c r="AD357" s="382"/>
      <c r="AE357" s="364"/>
      <c r="AF357" s="382"/>
      <c r="AG357" s="364"/>
      <c r="AH357" s="382"/>
      <c r="AI357" s="364"/>
      <c r="AJ357" s="382"/>
      <c r="AK357" s="364"/>
      <c r="AL357" s="382"/>
      <c r="AM357" s="352"/>
    </row>
    <row r="358" spans="1:39" s="351" customFormat="1">
      <c r="A358" s="363"/>
      <c r="B358" s="363"/>
      <c r="C358" s="364"/>
      <c r="D358" s="364"/>
      <c r="E358" s="364"/>
      <c r="F358" s="364"/>
      <c r="G358" s="364"/>
      <c r="H358" s="382"/>
      <c r="I358" s="364"/>
      <c r="J358" s="382"/>
      <c r="K358" s="364"/>
      <c r="L358" s="364"/>
      <c r="M358" s="364"/>
      <c r="N358" s="382"/>
      <c r="O358" s="364"/>
      <c r="P358" s="364"/>
      <c r="Q358" s="364"/>
      <c r="R358" s="382"/>
      <c r="S358" s="364"/>
      <c r="T358" s="382"/>
      <c r="U358" s="364"/>
      <c r="V358" s="382"/>
      <c r="W358" s="364"/>
      <c r="X358" s="382"/>
      <c r="Y358" s="364"/>
      <c r="Z358" s="382"/>
      <c r="AA358" s="364"/>
      <c r="AB358" s="364"/>
      <c r="AC358" s="364"/>
      <c r="AD358" s="382"/>
      <c r="AE358" s="364"/>
      <c r="AF358" s="382"/>
      <c r="AG358" s="364"/>
      <c r="AH358" s="382"/>
      <c r="AI358" s="364"/>
      <c r="AJ358" s="382"/>
      <c r="AK358" s="364"/>
      <c r="AL358" s="382"/>
      <c r="AM358" s="352"/>
    </row>
    <row r="359" spans="1:39" s="351" customFormat="1">
      <c r="A359" s="363"/>
      <c r="B359" s="363"/>
      <c r="C359" s="364"/>
      <c r="D359" s="364"/>
      <c r="E359" s="364"/>
      <c r="F359" s="364"/>
      <c r="G359" s="364"/>
      <c r="H359" s="382"/>
      <c r="I359" s="364"/>
      <c r="J359" s="382"/>
      <c r="K359" s="364"/>
      <c r="L359" s="364"/>
      <c r="M359" s="364"/>
      <c r="N359" s="382"/>
      <c r="O359" s="364"/>
      <c r="P359" s="364"/>
      <c r="Q359" s="364"/>
      <c r="R359" s="382"/>
      <c r="S359" s="364"/>
      <c r="T359" s="382"/>
      <c r="U359" s="364"/>
      <c r="V359" s="382"/>
      <c r="W359" s="364"/>
      <c r="X359" s="382"/>
      <c r="Y359" s="364"/>
      <c r="Z359" s="382"/>
      <c r="AA359" s="364"/>
      <c r="AB359" s="364"/>
      <c r="AC359" s="364"/>
      <c r="AD359" s="382"/>
      <c r="AE359" s="364"/>
      <c r="AF359" s="382"/>
      <c r="AG359" s="364"/>
      <c r="AH359" s="382"/>
      <c r="AI359" s="364"/>
      <c r="AJ359" s="382"/>
      <c r="AK359" s="364"/>
      <c r="AL359" s="382"/>
      <c r="AM359" s="352"/>
    </row>
    <row r="360" spans="1:39" s="351" customFormat="1">
      <c r="A360" s="363"/>
      <c r="B360" s="363"/>
      <c r="C360" s="364"/>
      <c r="D360" s="364"/>
      <c r="E360" s="364"/>
      <c r="F360" s="364"/>
      <c r="G360" s="364"/>
      <c r="H360" s="382"/>
      <c r="I360" s="364"/>
      <c r="J360" s="382"/>
      <c r="K360" s="364"/>
      <c r="L360" s="364"/>
      <c r="M360" s="364"/>
      <c r="N360" s="382"/>
      <c r="O360" s="364"/>
      <c r="P360" s="364"/>
      <c r="Q360" s="364"/>
      <c r="R360" s="382"/>
      <c r="S360" s="364"/>
      <c r="T360" s="382"/>
      <c r="U360" s="364"/>
      <c r="V360" s="382"/>
      <c r="W360" s="364"/>
      <c r="X360" s="382"/>
      <c r="Y360" s="364"/>
      <c r="Z360" s="382"/>
      <c r="AA360" s="364"/>
      <c r="AB360" s="364"/>
      <c r="AC360" s="364"/>
      <c r="AD360" s="382"/>
      <c r="AE360" s="364"/>
      <c r="AF360" s="382"/>
      <c r="AG360" s="364"/>
      <c r="AH360" s="382"/>
      <c r="AI360" s="364"/>
      <c r="AJ360" s="382"/>
      <c r="AK360" s="364"/>
      <c r="AL360" s="382"/>
      <c r="AM360" s="352"/>
    </row>
    <row r="361" spans="1:39" s="351" customFormat="1">
      <c r="A361" s="363"/>
      <c r="B361" s="363"/>
      <c r="C361" s="364"/>
      <c r="D361" s="364"/>
      <c r="E361" s="364"/>
      <c r="F361" s="364"/>
      <c r="G361" s="364"/>
      <c r="H361" s="382"/>
      <c r="I361" s="364"/>
      <c r="J361" s="382"/>
      <c r="K361" s="364"/>
      <c r="L361" s="364"/>
      <c r="M361" s="364"/>
      <c r="N361" s="382"/>
      <c r="O361" s="364"/>
      <c r="P361" s="364"/>
      <c r="Q361" s="364"/>
      <c r="R361" s="382"/>
      <c r="S361" s="364"/>
      <c r="T361" s="382"/>
      <c r="U361" s="364"/>
      <c r="V361" s="382"/>
      <c r="W361" s="364"/>
      <c r="X361" s="382"/>
      <c r="Y361" s="364"/>
      <c r="Z361" s="382"/>
      <c r="AA361" s="364"/>
      <c r="AB361" s="364"/>
      <c r="AC361" s="364"/>
      <c r="AD361" s="382"/>
      <c r="AE361" s="364"/>
      <c r="AF361" s="382"/>
      <c r="AG361" s="364"/>
      <c r="AH361" s="382"/>
      <c r="AI361" s="364"/>
      <c r="AJ361" s="382"/>
      <c r="AK361" s="364"/>
      <c r="AL361" s="382"/>
      <c r="AM361" s="352"/>
    </row>
    <row r="362" spans="1:39" s="351" customFormat="1">
      <c r="A362" s="363"/>
      <c r="B362" s="363"/>
      <c r="C362" s="364"/>
      <c r="D362" s="364"/>
      <c r="E362" s="364"/>
      <c r="F362" s="364"/>
      <c r="G362" s="364"/>
      <c r="H362" s="382"/>
      <c r="I362" s="364"/>
      <c r="J362" s="382"/>
      <c r="K362" s="364"/>
      <c r="L362" s="364"/>
      <c r="M362" s="364"/>
      <c r="N362" s="382"/>
      <c r="O362" s="364"/>
      <c r="P362" s="364"/>
      <c r="Q362" s="364"/>
      <c r="R362" s="382"/>
      <c r="S362" s="364"/>
      <c r="T362" s="382"/>
      <c r="U362" s="364"/>
      <c r="V362" s="382"/>
      <c r="W362" s="364"/>
      <c r="X362" s="382"/>
      <c r="Y362" s="364"/>
      <c r="Z362" s="382"/>
      <c r="AA362" s="364"/>
      <c r="AB362" s="364"/>
      <c r="AC362" s="364"/>
      <c r="AD362" s="382"/>
      <c r="AE362" s="364"/>
      <c r="AF362" s="382"/>
      <c r="AG362" s="364"/>
      <c r="AH362" s="382"/>
      <c r="AI362" s="364"/>
      <c r="AJ362" s="382"/>
      <c r="AK362" s="364"/>
      <c r="AL362" s="382"/>
      <c r="AM362" s="352"/>
    </row>
    <row r="363" spans="1:39" s="351" customFormat="1">
      <c r="A363" s="363"/>
      <c r="B363" s="363"/>
      <c r="C363" s="364"/>
      <c r="D363" s="364"/>
      <c r="E363" s="364"/>
      <c r="F363" s="364"/>
      <c r="G363" s="364"/>
      <c r="H363" s="382"/>
      <c r="I363" s="364"/>
      <c r="J363" s="382"/>
      <c r="K363" s="364"/>
      <c r="L363" s="364"/>
      <c r="M363" s="364"/>
      <c r="N363" s="382"/>
      <c r="O363" s="364"/>
      <c r="P363" s="364"/>
      <c r="Q363" s="364"/>
      <c r="R363" s="382"/>
      <c r="S363" s="364"/>
      <c r="T363" s="382"/>
      <c r="U363" s="364"/>
      <c r="V363" s="382"/>
      <c r="W363" s="364"/>
      <c r="X363" s="382"/>
      <c r="Y363" s="364"/>
      <c r="Z363" s="382"/>
      <c r="AA363" s="364"/>
      <c r="AB363" s="364"/>
      <c r="AC363" s="364"/>
      <c r="AD363" s="382"/>
      <c r="AE363" s="364"/>
      <c r="AF363" s="382"/>
      <c r="AG363" s="364"/>
      <c r="AH363" s="382"/>
      <c r="AI363" s="364"/>
      <c r="AJ363" s="382"/>
      <c r="AK363" s="364"/>
      <c r="AL363" s="382"/>
      <c r="AM363" s="352"/>
    </row>
    <row r="364" spans="1:39" s="351" customFormat="1">
      <c r="A364" s="363"/>
      <c r="B364" s="363"/>
      <c r="C364" s="364"/>
      <c r="D364" s="364"/>
      <c r="E364" s="364"/>
      <c r="F364" s="364"/>
      <c r="G364" s="364"/>
      <c r="H364" s="382"/>
      <c r="I364" s="364"/>
      <c r="J364" s="382"/>
      <c r="K364" s="364"/>
      <c r="L364" s="364"/>
      <c r="M364" s="364"/>
      <c r="N364" s="382"/>
      <c r="O364" s="364"/>
      <c r="P364" s="364"/>
      <c r="Q364" s="364"/>
      <c r="R364" s="382"/>
      <c r="S364" s="364"/>
      <c r="T364" s="382"/>
      <c r="U364" s="364"/>
      <c r="V364" s="382"/>
      <c r="W364" s="364"/>
      <c r="X364" s="382"/>
      <c r="Y364" s="364"/>
      <c r="Z364" s="382"/>
      <c r="AA364" s="364"/>
      <c r="AB364" s="364"/>
      <c r="AC364" s="364"/>
      <c r="AD364" s="382"/>
      <c r="AE364" s="364"/>
      <c r="AF364" s="382"/>
      <c r="AG364" s="364"/>
      <c r="AH364" s="382"/>
      <c r="AI364" s="364"/>
      <c r="AJ364" s="382"/>
      <c r="AK364" s="364"/>
      <c r="AL364" s="382"/>
      <c r="AM364" s="352"/>
    </row>
    <row r="365" spans="1:39" s="351" customFormat="1">
      <c r="A365" s="363"/>
      <c r="B365" s="363"/>
      <c r="C365" s="364"/>
      <c r="D365" s="364"/>
      <c r="E365" s="364"/>
      <c r="F365" s="364"/>
      <c r="G365" s="364"/>
      <c r="H365" s="382"/>
      <c r="I365" s="364"/>
      <c r="J365" s="382"/>
      <c r="K365" s="364"/>
      <c r="L365" s="364"/>
      <c r="M365" s="364"/>
      <c r="N365" s="382"/>
      <c r="O365" s="364"/>
      <c r="P365" s="364"/>
      <c r="Q365" s="364"/>
      <c r="R365" s="382"/>
      <c r="S365" s="364"/>
      <c r="T365" s="382"/>
      <c r="U365" s="364"/>
      <c r="V365" s="382"/>
      <c r="W365" s="364"/>
      <c r="X365" s="382"/>
      <c r="Y365" s="364"/>
      <c r="Z365" s="382"/>
      <c r="AA365" s="364"/>
      <c r="AB365" s="364"/>
      <c r="AC365" s="364"/>
      <c r="AD365" s="382"/>
      <c r="AE365" s="364"/>
      <c r="AF365" s="382"/>
      <c r="AG365" s="364"/>
      <c r="AH365" s="382"/>
      <c r="AI365" s="364"/>
      <c r="AJ365" s="382"/>
      <c r="AK365" s="364"/>
      <c r="AL365" s="382"/>
      <c r="AM365" s="352"/>
    </row>
    <row r="366" spans="1:39" s="351" customFormat="1">
      <c r="A366" s="363"/>
      <c r="B366" s="363"/>
      <c r="C366" s="364"/>
      <c r="D366" s="364"/>
      <c r="E366" s="364"/>
      <c r="F366" s="364"/>
      <c r="G366" s="364"/>
      <c r="H366" s="382"/>
      <c r="I366" s="364"/>
      <c r="J366" s="382"/>
      <c r="K366" s="364"/>
      <c r="L366" s="364"/>
      <c r="M366" s="364"/>
      <c r="N366" s="382"/>
      <c r="O366" s="364"/>
      <c r="P366" s="364"/>
      <c r="Q366" s="364"/>
      <c r="R366" s="382"/>
      <c r="S366" s="364"/>
      <c r="T366" s="382"/>
      <c r="U366" s="364"/>
      <c r="V366" s="382"/>
      <c r="W366" s="364"/>
      <c r="X366" s="382"/>
      <c r="Y366" s="364"/>
      <c r="Z366" s="382"/>
      <c r="AA366" s="364"/>
      <c r="AB366" s="364"/>
      <c r="AC366" s="364"/>
      <c r="AD366" s="382"/>
      <c r="AE366" s="364"/>
      <c r="AF366" s="382"/>
      <c r="AG366" s="364"/>
      <c r="AH366" s="382"/>
      <c r="AI366" s="364"/>
      <c r="AJ366" s="382"/>
      <c r="AK366" s="364"/>
      <c r="AL366" s="382"/>
      <c r="AM366" s="352"/>
    </row>
    <row r="367" spans="1:39" s="351" customFormat="1">
      <c r="A367" s="363"/>
      <c r="B367" s="363"/>
      <c r="C367" s="364"/>
      <c r="D367" s="364"/>
      <c r="E367" s="364"/>
      <c r="F367" s="364"/>
      <c r="G367" s="364"/>
      <c r="H367" s="382"/>
      <c r="I367" s="364"/>
      <c r="J367" s="382"/>
      <c r="K367" s="364"/>
      <c r="L367" s="364"/>
      <c r="M367" s="364"/>
      <c r="N367" s="382"/>
      <c r="O367" s="364"/>
      <c r="P367" s="364"/>
      <c r="Q367" s="364"/>
      <c r="R367" s="382"/>
      <c r="S367" s="364"/>
      <c r="T367" s="382"/>
      <c r="U367" s="364"/>
      <c r="V367" s="382"/>
      <c r="W367" s="364"/>
      <c r="X367" s="382"/>
      <c r="Y367" s="364"/>
      <c r="Z367" s="382"/>
      <c r="AA367" s="364"/>
      <c r="AB367" s="364"/>
      <c r="AC367" s="364"/>
      <c r="AD367" s="382"/>
      <c r="AE367" s="364"/>
      <c r="AF367" s="382"/>
      <c r="AG367" s="364"/>
      <c r="AH367" s="382"/>
      <c r="AI367" s="364"/>
      <c r="AJ367" s="382"/>
      <c r="AK367" s="364"/>
      <c r="AL367" s="382"/>
      <c r="AM367" s="352"/>
    </row>
    <row r="368" spans="1:39" s="351" customFormat="1">
      <c r="A368" s="363"/>
      <c r="B368" s="363"/>
      <c r="C368" s="364"/>
      <c r="D368" s="364"/>
      <c r="E368" s="364"/>
      <c r="F368" s="364"/>
      <c r="G368" s="364"/>
      <c r="H368" s="382"/>
      <c r="I368" s="364"/>
      <c r="J368" s="382"/>
      <c r="K368" s="364"/>
      <c r="L368" s="364"/>
      <c r="M368" s="364"/>
      <c r="N368" s="382"/>
      <c r="O368" s="364"/>
      <c r="P368" s="364"/>
      <c r="Q368" s="364"/>
      <c r="R368" s="382"/>
      <c r="S368" s="364"/>
      <c r="T368" s="382"/>
      <c r="U368" s="364"/>
      <c r="V368" s="382"/>
      <c r="W368" s="364"/>
      <c r="X368" s="382"/>
      <c r="Y368" s="364"/>
      <c r="Z368" s="382"/>
      <c r="AA368" s="364"/>
      <c r="AB368" s="364"/>
      <c r="AC368" s="364"/>
      <c r="AD368" s="382"/>
      <c r="AE368" s="364"/>
      <c r="AF368" s="382"/>
      <c r="AG368" s="364"/>
      <c r="AH368" s="382"/>
      <c r="AI368" s="364"/>
      <c r="AJ368" s="382"/>
      <c r="AK368" s="364"/>
      <c r="AL368" s="382"/>
      <c r="AM368" s="352"/>
    </row>
    <row r="369" spans="1:39" s="351" customFormat="1">
      <c r="A369" s="363"/>
      <c r="B369" s="363"/>
      <c r="C369" s="364"/>
      <c r="D369" s="364"/>
      <c r="E369" s="364"/>
      <c r="F369" s="364"/>
      <c r="G369" s="364"/>
      <c r="H369" s="382"/>
      <c r="I369" s="364"/>
      <c r="J369" s="382"/>
      <c r="K369" s="364"/>
      <c r="L369" s="364"/>
      <c r="M369" s="364"/>
      <c r="N369" s="382"/>
      <c r="O369" s="364"/>
      <c r="P369" s="364"/>
      <c r="Q369" s="364"/>
      <c r="R369" s="382"/>
      <c r="S369" s="364"/>
      <c r="T369" s="382"/>
      <c r="U369" s="364"/>
      <c r="V369" s="382"/>
      <c r="W369" s="364"/>
      <c r="X369" s="382"/>
      <c r="Y369" s="364"/>
      <c r="Z369" s="382"/>
      <c r="AA369" s="364"/>
      <c r="AB369" s="364"/>
      <c r="AC369" s="364"/>
      <c r="AD369" s="382"/>
      <c r="AE369" s="364"/>
      <c r="AF369" s="382"/>
      <c r="AG369" s="364"/>
      <c r="AH369" s="382"/>
      <c r="AI369" s="364"/>
      <c r="AJ369" s="382"/>
      <c r="AK369" s="364"/>
      <c r="AL369" s="382"/>
      <c r="AM369" s="352"/>
    </row>
    <row r="370" spans="1:39" s="351" customFormat="1">
      <c r="A370" s="363"/>
      <c r="B370" s="363"/>
      <c r="C370" s="364"/>
      <c r="D370" s="364"/>
      <c r="E370" s="364"/>
      <c r="F370" s="364"/>
      <c r="G370" s="364"/>
      <c r="H370" s="382"/>
      <c r="I370" s="364"/>
      <c r="J370" s="382"/>
      <c r="K370" s="364"/>
      <c r="L370" s="364"/>
      <c r="M370" s="364"/>
      <c r="N370" s="382"/>
      <c r="O370" s="364"/>
      <c r="P370" s="364"/>
      <c r="Q370" s="364"/>
      <c r="R370" s="382"/>
      <c r="S370" s="364"/>
      <c r="T370" s="382"/>
      <c r="U370" s="364"/>
      <c r="V370" s="382"/>
      <c r="W370" s="364"/>
      <c r="X370" s="382"/>
      <c r="Y370" s="364"/>
      <c r="Z370" s="382"/>
      <c r="AA370" s="364"/>
      <c r="AB370" s="364"/>
      <c r="AC370" s="364"/>
      <c r="AD370" s="382"/>
      <c r="AE370" s="364"/>
      <c r="AF370" s="382"/>
      <c r="AG370" s="364"/>
      <c r="AH370" s="382"/>
      <c r="AI370" s="364"/>
      <c r="AJ370" s="382"/>
      <c r="AK370" s="364"/>
      <c r="AL370" s="382"/>
      <c r="AM370" s="352"/>
    </row>
    <row r="371" spans="1:39" s="351" customFormat="1">
      <c r="A371" s="363"/>
      <c r="B371" s="363"/>
      <c r="C371" s="364"/>
      <c r="D371" s="364"/>
      <c r="E371" s="364"/>
      <c r="F371" s="364"/>
      <c r="G371" s="364"/>
      <c r="H371" s="382"/>
      <c r="I371" s="364"/>
      <c r="J371" s="382"/>
      <c r="K371" s="364"/>
      <c r="L371" s="364"/>
      <c r="M371" s="364"/>
      <c r="N371" s="382"/>
      <c r="O371" s="364"/>
      <c r="P371" s="364"/>
      <c r="Q371" s="364"/>
      <c r="R371" s="382"/>
      <c r="S371" s="364"/>
      <c r="T371" s="382"/>
      <c r="U371" s="364"/>
      <c r="V371" s="382"/>
      <c r="W371" s="364"/>
      <c r="X371" s="382"/>
      <c r="Y371" s="364"/>
      <c r="Z371" s="382"/>
      <c r="AA371" s="364"/>
      <c r="AB371" s="364"/>
      <c r="AC371" s="364"/>
      <c r="AD371" s="382"/>
      <c r="AE371" s="364"/>
      <c r="AF371" s="382"/>
      <c r="AG371" s="364"/>
      <c r="AH371" s="382"/>
      <c r="AI371" s="364"/>
      <c r="AJ371" s="382"/>
      <c r="AK371" s="364"/>
      <c r="AL371" s="382"/>
      <c r="AM371" s="352"/>
    </row>
    <row r="372" spans="1:39" s="351" customFormat="1">
      <c r="A372" s="363"/>
      <c r="B372" s="363"/>
      <c r="C372" s="364"/>
      <c r="D372" s="364"/>
      <c r="E372" s="364"/>
      <c r="F372" s="364"/>
      <c r="G372" s="364"/>
      <c r="H372" s="382"/>
      <c r="I372" s="364"/>
      <c r="J372" s="382"/>
      <c r="K372" s="364"/>
      <c r="L372" s="364"/>
      <c r="M372" s="364"/>
      <c r="N372" s="382"/>
      <c r="O372" s="364"/>
      <c r="P372" s="364"/>
      <c r="Q372" s="364"/>
      <c r="R372" s="382"/>
      <c r="S372" s="364"/>
      <c r="T372" s="382"/>
      <c r="U372" s="364"/>
      <c r="V372" s="382"/>
      <c r="W372" s="364"/>
      <c r="X372" s="382"/>
      <c r="Y372" s="364"/>
      <c r="Z372" s="382"/>
      <c r="AA372" s="364"/>
      <c r="AB372" s="364"/>
      <c r="AC372" s="364"/>
      <c r="AD372" s="382"/>
      <c r="AE372" s="364"/>
      <c r="AF372" s="382"/>
      <c r="AG372" s="364"/>
      <c r="AH372" s="382"/>
      <c r="AI372" s="364"/>
      <c r="AJ372" s="382"/>
      <c r="AK372" s="364"/>
      <c r="AL372" s="382"/>
      <c r="AM372" s="352"/>
    </row>
    <row r="373" spans="1:39" s="351" customFormat="1">
      <c r="A373" s="363"/>
      <c r="B373" s="363"/>
      <c r="C373" s="364"/>
      <c r="D373" s="364"/>
      <c r="E373" s="364"/>
      <c r="F373" s="364"/>
      <c r="G373" s="364"/>
      <c r="H373" s="382"/>
      <c r="I373" s="364"/>
      <c r="J373" s="382"/>
      <c r="K373" s="364"/>
      <c r="L373" s="364"/>
      <c r="M373" s="364"/>
      <c r="N373" s="382"/>
      <c r="O373" s="364"/>
      <c r="P373" s="364"/>
      <c r="Q373" s="364"/>
      <c r="R373" s="382"/>
      <c r="S373" s="364"/>
      <c r="T373" s="382"/>
      <c r="U373" s="364"/>
      <c r="V373" s="382"/>
      <c r="W373" s="364"/>
      <c r="X373" s="382"/>
      <c r="Y373" s="364"/>
      <c r="Z373" s="382"/>
      <c r="AA373" s="364"/>
      <c r="AB373" s="364"/>
      <c r="AC373" s="364"/>
      <c r="AD373" s="382"/>
      <c r="AE373" s="364"/>
      <c r="AF373" s="382"/>
      <c r="AG373" s="364"/>
      <c r="AH373" s="382"/>
      <c r="AI373" s="364"/>
      <c r="AJ373" s="382"/>
      <c r="AK373" s="364"/>
      <c r="AL373" s="382"/>
      <c r="AM373" s="352"/>
    </row>
    <row r="374" spans="1:39" s="351" customFormat="1">
      <c r="A374" s="363"/>
      <c r="B374" s="363"/>
      <c r="C374" s="364"/>
      <c r="D374" s="364"/>
      <c r="E374" s="364"/>
      <c r="F374" s="364"/>
      <c r="G374" s="364"/>
      <c r="H374" s="382"/>
      <c r="I374" s="364"/>
      <c r="J374" s="382"/>
      <c r="K374" s="364"/>
      <c r="L374" s="364"/>
      <c r="M374" s="364"/>
      <c r="N374" s="382"/>
      <c r="O374" s="364"/>
      <c r="P374" s="364"/>
      <c r="Q374" s="364"/>
      <c r="R374" s="382"/>
      <c r="S374" s="364"/>
      <c r="T374" s="382"/>
      <c r="U374" s="364"/>
      <c r="V374" s="382"/>
      <c r="W374" s="364"/>
      <c r="X374" s="382"/>
      <c r="Y374" s="364"/>
      <c r="Z374" s="382"/>
      <c r="AA374" s="364"/>
      <c r="AB374" s="364"/>
      <c r="AC374" s="364"/>
      <c r="AD374" s="382"/>
      <c r="AE374" s="364"/>
      <c r="AF374" s="382"/>
      <c r="AG374" s="364"/>
      <c r="AH374" s="382"/>
      <c r="AI374" s="364"/>
      <c r="AJ374" s="382"/>
      <c r="AK374" s="364"/>
      <c r="AL374" s="382"/>
      <c r="AM374" s="352"/>
    </row>
    <row r="375" spans="1:39" s="351" customFormat="1">
      <c r="A375" s="363"/>
      <c r="B375" s="363"/>
      <c r="C375" s="364"/>
      <c r="D375" s="364"/>
      <c r="E375" s="364"/>
      <c r="F375" s="364"/>
      <c r="G375" s="364"/>
      <c r="H375" s="382"/>
      <c r="I375" s="364"/>
      <c r="J375" s="382"/>
      <c r="K375" s="364"/>
      <c r="L375" s="364"/>
      <c r="M375" s="364"/>
      <c r="N375" s="382"/>
      <c r="O375" s="364"/>
      <c r="P375" s="364"/>
      <c r="Q375" s="364"/>
      <c r="R375" s="382"/>
      <c r="S375" s="364"/>
      <c r="T375" s="382"/>
      <c r="U375" s="364"/>
      <c r="V375" s="382"/>
      <c r="W375" s="364"/>
      <c r="X375" s="382"/>
      <c r="Y375" s="364"/>
      <c r="Z375" s="382"/>
      <c r="AA375" s="364"/>
      <c r="AB375" s="364"/>
      <c r="AC375" s="364"/>
      <c r="AD375" s="382"/>
      <c r="AE375" s="364"/>
      <c r="AF375" s="382"/>
      <c r="AG375" s="364"/>
      <c r="AH375" s="382"/>
      <c r="AI375" s="364"/>
      <c r="AJ375" s="382"/>
      <c r="AK375" s="364"/>
      <c r="AL375" s="382"/>
      <c r="AM375" s="352"/>
    </row>
    <row r="376" spans="1:39" s="351" customFormat="1">
      <c r="A376" s="363"/>
      <c r="B376" s="363"/>
      <c r="C376" s="364"/>
      <c r="D376" s="364"/>
      <c r="E376" s="364"/>
      <c r="F376" s="364"/>
      <c r="G376" s="364"/>
      <c r="H376" s="382"/>
      <c r="I376" s="364"/>
      <c r="J376" s="382"/>
      <c r="K376" s="364"/>
      <c r="L376" s="364"/>
      <c r="M376" s="364"/>
      <c r="N376" s="382"/>
      <c r="O376" s="364"/>
      <c r="P376" s="364"/>
      <c r="Q376" s="364"/>
      <c r="R376" s="382"/>
      <c r="S376" s="364"/>
      <c r="T376" s="382"/>
      <c r="U376" s="364"/>
      <c r="V376" s="382"/>
      <c r="W376" s="364"/>
      <c r="X376" s="382"/>
      <c r="Y376" s="364"/>
      <c r="Z376" s="382"/>
      <c r="AA376" s="364"/>
      <c r="AB376" s="364"/>
      <c r="AC376" s="364"/>
      <c r="AD376" s="382"/>
      <c r="AE376" s="364"/>
      <c r="AF376" s="382"/>
      <c r="AG376" s="364"/>
      <c r="AH376" s="382"/>
      <c r="AI376" s="364"/>
      <c r="AJ376" s="382"/>
      <c r="AK376" s="364"/>
      <c r="AL376" s="382"/>
      <c r="AM376" s="352"/>
    </row>
    <row r="377" spans="1:39" s="351" customFormat="1">
      <c r="A377" s="363"/>
      <c r="B377" s="363"/>
      <c r="C377" s="364"/>
      <c r="D377" s="364"/>
      <c r="E377" s="364"/>
      <c r="F377" s="364"/>
      <c r="G377" s="364"/>
      <c r="H377" s="382"/>
      <c r="I377" s="364"/>
      <c r="J377" s="382"/>
      <c r="K377" s="364"/>
      <c r="L377" s="364"/>
      <c r="M377" s="364"/>
      <c r="N377" s="382"/>
      <c r="O377" s="364"/>
      <c r="P377" s="364"/>
      <c r="Q377" s="364"/>
      <c r="R377" s="382"/>
      <c r="S377" s="364"/>
      <c r="T377" s="382"/>
      <c r="U377" s="364"/>
      <c r="V377" s="382"/>
      <c r="W377" s="364"/>
      <c r="X377" s="382"/>
      <c r="Y377" s="364"/>
      <c r="Z377" s="382"/>
      <c r="AA377" s="364"/>
      <c r="AB377" s="364"/>
      <c r="AC377" s="364"/>
      <c r="AD377" s="382"/>
      <c r="AE377" s="364"/>
      <c r="AF377" s="382"/>
      <c r="AG377" s="364"/>
      <c r="AH377" s="382"/>
      <c r="AI377" s="364"/>
      <c r="AJ377" s="382"/>
      <c r="AK377" s="364"/>
      <c r="AL377" s="382"/>
      <c r="AM377" s="352"/>
    </row>
    <row r="378" spans="1:39" s="351" customFormat="1">
      <c r="A378" s="363"/>
      <c r="B378" s="363"/>
      <c r="C378" s="364"/>
      <c r="D378" s="364"/>
      <c r="E378" s="364"/>
      <c r="F378" s="364"/>
      <c r="G378" s="364"/>
      <c r="H378" s="382"/>
      <c r="I378" s="364"/>
      <c r="J378" s="382"/>
      <c r="K378" s="364"/>
      <c r="L378" s="364"/>
      <c r="M378" s="364"/>
      <c r="N378" s="382"/>
      <c r="O378" s="364"/>
      <c r="P378" s="364"/>
      <c r="Q378" s="364"/>
      <c r="R378" s="382"/>
      <c r="S378" s="364"/>
      <c r="T378" s="382"/>
      <c r="U378" s="364"/>
      <c r="V378" s="382"/>
      <c r="W378" s="364"/>
      <c r="X378" s="382"/>
      <c r="Y378" s="364"/>
      <c r="Z378" s="382"/>
      <c r="AA378" s="364"/>
      <c r="AB378" s="364"/>
      <c r="AC378" s="364"/>
      <c r="AD378" s="382"/>
      <c r="AE378" s="364"/>
      <c r="AF378" s="382"/>
      <c r="AG378" s="364"/>
      <c r="AH378" s="382"/>
      <c r="AI378" s="364"/>
      <c r="AJ378" s="382"/>
      <c r="AK378" s="364"/>
      <c r="AL378" s="382"/>
      <c r="AM378" s="352"/>
    </row>
    <row r="379" spans="1:39" s="351" customFormat="1">
      <c r="A379" s="363"/>
      <c r="B379" s="363"/>
      <c r="C379" s="364"/>
      <c r="D379" s="364"/>
      <c r="E379" s="364"/>
      <c r="F379" s="364"/>
      <c r="G379" s="364"/>
      <c r="H379" s="382"/>
      <c r="I379" s="364"/>
      <c r="J379" s="382"/>
      <c r="K379" s="364"/>
      <c r="L379" s="364"/>
      <c r="M379" s="364"/>
      <c r="N379" s="382"/>
      <c r="O379" s="364"/>
      <c r="P379" s="364"/>
      <c r="Q379" s="364"/>
      <c r="R379" s="382"/>
      <c r="S379" s="364"/>
      <c r="T379" s="382"/>
      <c r="U379" s="364"/>
      <c r="V379" s="382"/>
      <c r="W379" s="364"/>
      <c r="X379" s="382"/>
      <c r="Y379" s="364"/>
      <c r="Z379" s="382"/>
      <c r="AA379" s="364"/>
      <c r="AB379" s="364"/>
      <c r="AC379" s="364"/>
      <c r="AD379" s="382"/>
      <c r="AE379" s="364"/>
      <c r="AF379" s="382"/>
      <c r="AG379" s="364"/>
      <c r="AH379" s="382"/>
      <c r="AI379" s="364"/>
      <c r="AJ379" s="382"/>
      <c r="AK379" s="364"/>
      <c r="AL379" s="382"/>
      <c r="AM379" s="352"/>
    </row>
    <row r="380" spans="1:39" s="351" customFormat="1">
      <c r="A380" s="363"/>
      <c r="B380" s="363"/>
      <c r="C380" s="364"/>
      <c r="D380" s="364"/>
      <c r="E380" s="364"/>
      <c r="F380" s="364"/>
      <c r="G380" s="364"/>
      <c r="H380" s="382"/>
      <c r="I380" s="364"/>
      <c r="J380" s="382"/>
      <c r="K380" s="364"/>
      <c r="L380" s="364"/>
      <c r="M380" s="364"/>
      <c r="N380" s="382"/>
      <c r="O380" s="364"/>
      <c r="P380" s="364"/>
      <c r="Q380" s="364"/>
      <c r="R380" s="382"/>
      <c r="S380" s="364"/>
      <c r="T380" s="382"/>
      <c r="U380" s="364"/>
      <c r="V380" s="382"/>
      <c r="W380" s="364"/>
      <c r="X380" s="382"/>
      <c r="Y380" s="364"/>
      <c r="Z380" s="382"/>
      <c r="AA380" s="364"/>
      <c r="AB380" s="364"/>
      <c r="AC380" s="364"/>
      <c r="AD380" s="382"/>
      <c r="AE380" s="364"/>
      <c r="AF380" s="382"/>
      <c r="AG380" s="364"/>
      <c r="AH380" s="382"/>
      <c r="AI380" s="364"/>
      <c r="AJ380" s="382"/>
      <c r="AK380" s="364"/>
      <c r="AL380" s="382"/>
      <c r="AM380" s="352"/>
    </row>
    <row r="381" spans="1:39" s="351" customFormat="1">
      <c r="A381" s="363"/>
      <c r="B381" s="363"/>
      <c r="C381" s="364"/>
      <c r="D381" s="364"/>
      <c r="E381" s="364"/>
      <c r="F381" s="364"/>
      <c r="G381" s="364"/>
      <c r="H381" s="382"/>
      <c r="I381" s="364"/>
      <c r="J381" s="382"/>
      <c r="K381" s="364"/>
      <c r="L381" s="364"/>
      <c r="M381" s="364"/>
      <c r="N381" s="382"/>
      <c r="O381" s="364"/>
      <c r="P381" s="364"/>
      <c r="Q381" s="364"/>
      <c r="R381" s="382"/>
      <c r="S381" s="364"/>
      <c r="T381" s="382"/>
      <c r="U381" s="364"/>
      <c r="V381" s="382"/>
      <c r="W381" s="364"/>
      <c r="X381" s="382"/>
      <c r="Y381" s="364"/>
      <c r="Z381" s="382"/>
      <c r="AA381" s="364"/>
      <c r="AB381" s="364"/>
      <c r="AC381" s="364"/>
      <c r="AD381" s="382"/>
      <c r="AE381" s="364"/>
      <c r="AF381" s="382"/>
      <c r="AG381" s="364"/>
      <c r="AH381" s="382"/>
      <c r="AI381" s="364"/>
      <c r="AJ381" s="382"/>
      <c r="AK381" s="364"/>
      <c r="AL381" s="382"/>
      <c r="AM381" s="352"/>
    </row>
    <row r="382" spans="1:39" s="351" customFormat="1">
      <c r="A382" s="363"/>
      <c r="B382" s="363"/>
      <c r="C382" s="364"/>
      <c r="D382" s="364"/>
      <c r="E382" s="364"/>
      <c r="F382" s="364"/>
      <c r="G382" s="364"/>
      <c r="H382" s="382"/>
      <c r="I382" s="364"/>
      <c r="J382" s="382"/>
      <c r="K382" s="364"/>
      <c r="L382" s="364"/>
      <c r="M382" s="364"/>
      <c r="N382" s="382"/>
      <c r="O382" s="364"/>
      <c r="P382" s="364"/>
      <c r="Q382" s="364"/>
      <c r="R382" s="382"/>
      <c r="S382" s="364"/>
      <c r="T382" s="382"/>
      <c r="U382" s="364"/>
      <c r="V382" s="382"/>
      <c r="W382" s="364"/>
      <c r="X382" s="382"/>
      <c r="Y382" s="364"/>
      <c r="Z382" s="382"/>
      <c r="AA382" s="364"/>
      <c r="AB382" s="364"/>
      <c r="AC382" s="364"/>
      <c r="AD382" s="382"/>
      <c r="AE382" s="364"/>
      <c r="AF382" s="382"/>
      <c r="AG382" s="364"/>
      <c r="AH382" s="382"/>
      <c r="AI382" s="364"/>
      <c r="AJ382" s="382"/>
      <c r="AK382" s="364"/>
      <c r="AL382" s="382"/>
      <c r="AM382" s="352"/>
    </row>
    <row r="383" spans="1:39" s="351" customFormat="1">
      <c r="A383" s="363"/>
      <c r="B383" s="363"/>
      <c r="C383" s="364"/>
      <c r="D383" s="364"/>
      <c r="E383" s="364"/>
      <c r="F383" s="364"/>
      <c r="G383" s="364"/>
      <c r="H383" s="382"/>
      <c r="I383" s="364"/>
      <c r="J383" s="382"/>
      <c r="K383" s="364"/>
      <c r="L383" s="364"/>
      <c r="M383" s="364"/>
      <c r="N383" s="382"/>
      <c r="O383" s="364"/>
      <c r="P383" s="364"/>
      <c r="Q383" s="364"/>
      <c r="R383" s="382"/>
      <c r="S383" s="364"/>
      <c r="T383" s="382"/>
      <c r="U383" s="364"/>
      <c r="V383" s="382"/>
      <c r="W383" s="364"/>
      <c r="X383" s="382"/>
      <c r="Y383" s="364"/>
      <c r="Z383" s="382"/>
      <c r="AA383" s="364"/>
      <c r="AB383" s="364"/>
      <c r="AC383" s="364"/>
      <c r="AD383" s="382"/>
      <c r="AE383" s="364"/>
      <c r="AF383" s="382"/>
      <c r="AG383" s="364"/>
      <c r="AH383" s="382"/>
      <c r="AI383" s="364"/>
      <c r="AJ383" s="382"/>
      <c r="AK383" s="364"/>
      <c r="AL383" s="382"/>
      <c r="AM383" s="352"/>
    </row>
    <row r="384" spans="1:39" s="351" customFormat="1">
      <c r="A384" s="363"/>
      <c r="B384" s="363"/>
      <c r="C384" s="364"/>
      <c r="D384" s="364"/>
      <c r="E384" s="364"/>
      <c r="F384" s="364"/>
      <c r="G384" s="364"/>
      <c r="H384" s="382"/>
      <c r="I384" s="364"/>
      <c r="J384" s="382"/>
      <c r="K384" s="364"/>
      <c r="L384" s="364"/>
      <c r="M384" s="364"/>
      <c r="N384" s="382"/>
      <c r="O384" s="364"/>
      <c r="P384" s="364"/>
      <c r="Q384" s="364"/>
      <c r="R384" s="382"/>
      <c r="S384" s="364"/>
      <c r="T384" s="382"/>
      <c r="U384" s="364"/>
      <c r="V384" s="382"/>
      <c r="W384" s="364"/>
      <c r="X384" s="382"/>
      <c r="Y384" s="364"/>
      <c r="Z384" s="382"/>
      <c r="AA384" s="364"/>
      <c r="AB384" s="364"/>
      <c r="AC384" s="364"/>
      <c r="AD384" s="382"/>
      <c r="AE384" s="364"/>
      <c r="AF384" s="382"/>
      <c r="AG384" s="364"/>
      <c r="AH384" s="382"/>
      <c r="AI384" s="364"/>
      <c r="AJ384" s="382"/>
      <c r="AK384" s="364"/>
      <c r="AL384" s="382"/>
      <c r="AM384" s="352"/>
    </row>
    <row r="385" spans="1:39" s="351" customFormat="1">
      <c r="A385" s="363"/>
      <c r="B385" s="363"/>
      <c r="C385" s="364"/>
      <c r="D385" s="364"/>
      <c r="E385" s="364"/>
      <c r="F385" s="364"/>
      <c r="G385" s="364"/>
      <c r="H385" s="382"/>
      <c r="I385" s="364"/>
      <c r="J385" s="382"/>
      <c r="K385" s="364"/>
      <c r="L385" s="364"/>
      <c r="M385" s="364"/>
      <c r="N385" s="382"/>
      <c r="O385" s="364"/>
      <c r="P385" s="364"/>
      <c r="Q385" s="364"/>
      <c r="R385" s="382"/>
      <c r="S385" s="364"/>
      <c r="T385" s="382"/>
      <c r="U385" s="364"/>
      <c r="V385" s="382"/>
      <c r="W385" s="364"/>
      <c r="X385" s="382"/>
      <c r="Y385" s="364"/>
      <c r="Z385" s="382"/>
      <c r="AA385" s="364"/>
      <c r="AB385" s="364"/>
      <c r="AC385" s="364"/>
      <c r="AD385" s="382"/>
      <c r="AE385" s="364"/>
      <c r="AF385" s="382"/>
      <c r="AG385" s="364"/>
      <c r="AH385" s="382"/>
      <c r="AI385" s="364"/>
      <c r="AJ385" s="382"/>
      <c r="AK385" s="364"/>
      <c r="AL385" s="382"/>
      <c r="AM385" s="352"/>
    </row>
    <row r="386" spans="1:39" s="351" customFormat="1">
      <c r="A386" s="363"/>
      <c r="B386" s="363"/>
      <c r="C386" s="364"/>
      <c r="D386" s="364"/>
      <c r="E386" s="364"/>
      <c r="F386" s="364"/>
      <c r="G386" s="364"/>
      <c r="H386" s="382"/>
      <c r="I386" s="364"/>
      <c r="J386" s="382"/>
      <c r="K386" s="364"/>
      <c r="L386" s="364"/>
      <c r="M386" s="364"/>
      <c r="N386" s="382"/>
      <c r="O386" s="364"/>
      <c r="P386" s="364"/>
      <c r="Q386" s="364"/>
      <c r="R386" s="382"/>
      <c r="S386" s="364"/>
      <c r="T386" s="382"/>
      <c r="U386" s="364"/>
      <c r="V386" s="382"/>
      <c r="W386" s="364"/>
      <c r="X386" s="382"/>
      <c r="Y386" s="364"/>
      <c r="Z386" s="382"/>
      <c r="AA386" s="364"/>
      <c r="AB386" s="364"/>
      <c r="AC386" s="364"/>
      <c r="AD386" s="382"/>
      <c r="AE386" s="364"/>
      <c r="AF386" s="382"/>
      <c r="AG386" s="364"/>
      <c r="AH386" s="382"/>
      <c r="AI386" s="364"/>
      <c r="AJ386" s="382"/>
      <c r="AK386" s="364"/>
      <c r="AL386" s="382"/>
      <c r="AM386" s="352"/>
    </row>
    <row r="387" spans="1:39" s="351" customFormat="1">
      <c r="A387" s="363"/>
      <c r="B387" s="363"/>
      <c r="C387" s="364"/>
      <c r="D387" s="364"/>
      <c r="E387" s="364"/>
      <c r="F387" s="364"/>
      <c r="G387" s="364"/>
      <c r="H387" s="382"/>
      <c r="I387" s="364"/>
      <c r="J387" s="382"/>
      <c r="K387" s="364"/>
      <c r="L387" s="364"/>
      <c r="M387" s="364"/>
      <c r="N387" s="382"/>
      <c r="O387" s="364"/>
      <c r="P387" s="364"/>
      <c r="Q387" s="364"/>
      <c r="R387" s="382"/>
      <c r="S387" s="364"/>
      <c r="T387" s="382"/>
      <c r="U387" s="364"/>
      <c r="V387" s="382"/>
      <c r="W387" s="364"/>
      <c r="X387" s="382"/>
      <c r="Y387" s="364"/>
      <c r="Z387" s="382"/>
      <c r="AA387" s="364"/>
      <c r="AB387" s="364"/>
      <c r="AC387" s="364"/>
      <c r="AD387" s="382"/>
      <c r="AE387" s="364"/>
      <c r="AF387" s="382"/>
      <c r="AG387" s="364"/>
      <c r="AH387" s="382"/>
      <c r="AI387" s="364"/>
      <c r="AJ387" s="382"/>
      <c r="AK387" s="364"/>
      <c r="AL387" s="382"/>
      <c r="AM387" s="352"/>
    </row>
    <row r="388" spans="1:39" s="351" customFormat="1">
      <c r="A388" s="363"/>
      <c r="B388" s="363"/>
      <c r="C388" s="364"/>
      <c r="D388" s="364"/>
      <c r="E388" s="364"/>
      <c r="F388" s="364"/>
      <c r="G388" s="364"/>
      <c r="H388" s="382"/>
      <c r="I388" s="364"/>
      <c r="J388" s="382"/>
      <c r="K388" s="364"/>
      <c r="L388" s="364"/>
      <c r="M388" s="364"/>
      <c r="N388" s="382"/>
      <c r="O388" s="364"/>
      <c r="P388" s="364"/>
      <c r="Q388" s="364"/>
      <c r="R388" s="382"/>
      <c r="S388" s="364"/>
      <c r="T388" s="382"/>
      <c r="U388" s="364"/>
      <c r="V388" s="382"/>
      <c r="W388" s="364"/>
      <c r="X388" s="382"/>
      <c r="Y388" s="364"/>
      <c r="Z388" s="382"/>
      <c r="AA388" s="364"/>
      <c r="AB388" s="364"/>
      <c r="AC388" s="364"/>
      <c r="AD388" s="382"/>
      <c r="AE388" s="364"/>
      <c r="AF388" s="382"/>
      <c r="AG388" s="364"/>
      <c r="AH388" s="382"/>
      <c r="AI388" s="364"/>
      <c r="AJ388" s="382"/>
      <c r="AK388" s="364"/>
      <c r="AL388" s="382"/>
      <c r="AM388" s="352"/>
    </row>
    <row r="389" spans="1:39" s="351" customFormat="1">
      <c r="A389" s="363"/>
      <c r="B389" s="363"/>
      <c r="C389" s="364"/>
      <c r="D389" s="364"/>
      <c r="E389" s="364"/>
      <c r="F389" s="364"/>
      <c r="G389" s="364"/>
      <c r="H389" s="382"/>
      <c r="I389" s="364"/>
      <c r="J389" s="382"/>
      <c r="K389" s="364"/>
      <c r="L389" s="364"/>
      <c r="M389" s="364"/>
      <c r="N389" s="382"/>
      <c r="O389" s="364"/>
      <c r="P389" s="364"/>
      <c r="Q389" s="364"/>
      <c r="R389" s="382"/>
      <c r="S389" s="364"/>
      <c r="T389" s="382"/>
      <c r="U389" s="364"/>
      <c r="V389" s="382"/>
      <c r="W389" s="364"/>
      <c r="X389" s="382"/>
      <c r="Y389" s="364"/>
      <c r="Z389" s="382"/>
      <c r="AA389" s="364"/>
      <c r="AB389" s="364"/>
      <c r="AC389" s="364"/>
      <c r="AD389" s="382"/>
      <c r="AE389" s="364"/>
      <c r="AF389" s="382"/>
      <c r="AG389" s="364"/>
      <c r="AH389" s="382"/>
      <c r="AI389" s="364"/>
      <c r="AJ389" s="382"/>
      <c r="AK389" s="364"/>
      <c r="AL389" s="382"/>
      <c r="AM389" s="352"/>
    </row>
    <row r="390" spans="1:39" s="351" customFormat="1">
      <c r="A390" s="363"/>
      <c r="B390" s="363"/>
      <c r="C390" s="364"/>
      <c r="D390" s="364"/>
      <c r="E390" s="364"/>
      <c r="F390" s="364"/>
      <c r="G390" s="364"/>
      <c r="H390" s="382"/>
      <c r="I390" s="364"/>
      <c r="J390" s="382"/>
      <c r="K390" s="364"/>
      <c r="L390" s="364"/>
      <c r="M390" s="364"/>
      <c r="N390" s="382"/>
      <c r="O390" s="364"/>
      <c r="P390" s="364"/>
      <c r="Q390" s="364"/>
      <c r="R390" s="382"/>
      <c r="S390" s="364"/>
      <c r="T390" s="382"/>
      <c r="U390" s="364"/>
      <c r="V390" s="382"/>
      <c r="W390" s="364"/>
      <c r="X390" s="382"/>
      <c r="Y390" s="364"/>
      <c r="Z390" s="382"/>
      <c r="AA390" s="364"/>
      <c r="AB390" s="364"/>
      <c r="AC390" s="364"/>
      <c r="AD390" s="382"/>
      <c r="AE390" s="364"/>
      <c r="AF390" s="382"/>
      <c r="AG390" s="364"/>
      <c r="AH390" s="382"/>
      <c r="AI390" s="364"/>
      <c r="AJ390" s="382"/>
      <c r="AK390" s="364"/>
      <c r="AL390" s="382"/>
      <c r="AM390" s="352"/>
    </row>
    <row r="391" spans="1:39" s="351" customFormat="1">
      <c r="A391" s="363"/>
      <c r="B391" s="363"/>
      <c r="C391" s="364"/>
      <c r="D391" s="364"/>
      <c r="E391" s="364"/>
      <c r="F391" s="364"/>
      <c r="G391" s="364"/>
      <c r="H391" s="382"/>
      <c r="I391" s="364"/>
      <c r="J391" s="382"/>
      <c r="K391" s="364"/>
      <c r="L391" s="364"/>
      <c r="M391" s="364"/>
      <c r="N391" s="382"/>
      <c r="O391" s="364"/>
      <c r="P391" s="364"/>
      <c r="Q391" s="364"/>
      <c r="R391" s="382"/>
      <c r="S391" s="364"/>
      <c r="T391" s="382"/>
      <c r="U391" s="364"/>
      <c r="V391" s="382"/>
      <c r="W391" s="364"/>
      <c r="X391" s="382"/>
      <c r="Y391" s="364"/>
      <c r="Z391" s="382"/>
      <c r="AA391" s="364"/>
      <c r="AB391" s="364"/>
      <c r="AC391" s="364"/>
      <c r="AD391" s="382"/>
      <c r="AE391" s="364"/>
      <c r="AF391" s="382"/>
      <c r="AG391" s="364"/>
      <c r="AH391" s="382"/>
      <c r="AI391" s="364"/>
      <c r="AJ391" s="382"/>
      <c r="AK391" s="364"/>
      <c r="AL391" s="382"/>
      <c r="AM391" s="352"/>
    </row>
    <row r="392" spans="1:39" s="351" customFormat="1">
      <c r="A392" s="363"/>
      <c r="B392" s="363"/>
      <c r="C392" s="364"/>
      <c r="D392" s="364"/>
      <c r="E392" s="364"/>
      <c r="F392" s="364"/>
      <c r="G392" s="364"/>
      <c r="H392" s="382"/>
      <c r="I392" s="364"/>
      <c r="J392" s="382"/>
      <c r="K392" s="364"/>
      <c r="L392" s="364"/>
      <c r="M392" s="364"/>
      <c r="N392" s="382"/>
      <c r="O392" s="364"/>
      <c r="P392" s="364"/>
      <c r="Q392" s="364"/>
      <c r="R392" s="382"/>
      <c r="S392" s="364"/>
      <c r="T392" s="382"/>
      <c r="U392" s="364"/>
      <c r="V392" s="382"/>
      <c r="W392" s="364"/>
      <c r="X392" s="382"/>
      <c r="Y392" s="364"/>
      <c r="Z392" s="382"/>
      <c r="AA392" s="364"/>
      <c r="AB392" s="364"/>
      <c r="AC392" s="364"/>
      <c r="AD392" s="382"/>
      <c r="AE392" s="364"/>
      <c r="AF392" s="382"/>
      <c r="AG392" s="364"/>
      <c r="AH392" s="382"/>
      <c r="AI392" s="364"/>
      <c r="AJ392" s="382"/>
      <c r="AK392" s="364"/>
      <c r="AL392" s="382"/>
      <c r="AM392" s="352"/>
    </row>
    <row r="393" spans="1:39" s="351" customFormat="1">
      <c r="A393" s="363"/>
      <c r="B393" s="363"/>
      <c r="C393" s="364"/>
      <c r="D393" s="364"/>
      <c r="E393" s="364"/>
      <c r="F393" s="364"/>
      <c r="G393" s="364"/>
      <c r="H393" s="382"/>
      <c r="I393" s="364"/>
      <c r="J393" s="382"/>
      <c r="K393" s="364"/>
      <c r="L393" s="364"/>
      <c r="M393" s="364"/>
      <c r="N393" s="382"/>
      <c r="O393" s="364"/>
      <c r="P393" s="364"/>
      <c r="Q393" s="364"/>
      <c r="R393" s="382"/>
      <c r="S393" s="364"/>
      <c r="T393" s="382"/>
      <c r="U393" s="364"/>
      <c r="V393" s="382"/>
      <c r="W393" s="364"/>
      <c r="X393" s="382"/>
      <c r="Y393" s="364"/>
      <c r="Z393" s="382"/>
      <c r="AA393" s="364"/>
      <c r="AB393" s="364"/>
      <c r="AC393" s="364"/>
      <c r="AD393" s="382"/>
      <c r="AE393" s="364"/>
      <c r="AF393" s="382"/>
      <c r="AG393" s="364"/>
      <c r="AH393" s="382"/>
      <c r="AI393" s="364"/>
      <c r="AJ393" s="382"/>
      <c r="AK393" s="364"/>
      <c r="AL393" s="382"/>
      <c r="AM393" s="352"/>
    </row>
    <row r="394" spans="1:39" s="351" customFormat="1">
      <c r="A394" s="363"/>
      <c r="B394" s="363"/>
      <c r="C394" s="364"/>
      <c r="D394" s="364"/>
      <c r="E394" s="364"/>
      <c r="F394" s="364"/>
      <c r="G394" s="364"/>
      <c r="H394" s="382"/>
      <c r="I394" s="364"/>
      <c r="J394" s="382"/>
      <c r="K394" s="364"/>
      <c r="L394" s="364"/>
      <c r="M394" s="364"/>
      <c r="N394" s="382"/>
      <c r="O394" s="364"/>
      <c r="P394" s="364"/>
      <c r="Q394" s="364"/>
      <c r="R394" s="382"/>
      <c r="S394" s="364"/>
      <c r="T394" s="382"/>
      <c r="U394" s="364"/>
      <c r="V394" s="382"/>
      <c r="W394" s="364"/>
      <c r="X394" s="382"/>
      <c r="Y394" s="364"/>
      <c r="Z394" s="382"/>
      <c r="AA394" s="364"/>
      <c r="AB394" s="364"/>
      <c r="AC394" s="364"/>
      <c r="AD394" s="382"/>
      <c r="AE394" s="364"/>
      <c r="AF394" s="382"/>
      <c r="AG394" s="364"/>
      <c r="AH394" s="382"/>
      <c r="AI394" s="364"/>
      <c r="AJ394" s="382"/>
      <c r="AK394" s="364"/>
      <c r="AL394" s="382"/>
      <c r="AM394" s="352"/>
    </row>
    <row r="395" spans="1:39" s="351" customFormat="1">
      <c r="A395" s="363"/>
      <c r="B395" s="363"/>
      <c r="C395" s="364"/>
      <c r="D395" s="364"/>
      <c r="E395" s="364"/>
      <c r="F395" s="364"/>
      <c r="G395" s="364"/>
      <c r="H395" s="382"/>
      <c r="I395" s="364"/>
      <c r="J395" s="382"/>
      <c r="K395" s="364"/>
      <c r="L395" s="364"/>
      <c r="M395" s="364"/>
      <c r="N395" s="382"/>
      <c r="O395" s="364"/>
      <c r="P395" s="364"/>
      <c r="Q395" s="364"/>
      <c r="R395" s="382"/>
      <c r="S395" s="364"/>
      <c r="T395" s="382"/>
      <c r="U395" s="364"/>
      <c r="V395" s="382"/>
      <c r="W395" s="364"/>
      <c r="X395" s="382"/>
      <c r="Y395" s="364"/>
      <c r="Z395" s="382"/>
      <c r="AA395" s="364"/>
      <c r="AB395" s="364"/>
      <c r="AC395" s="364"/>
      <c r="AD395" s="382"/>
      <c r="AE395" s="364"/>
      <c r="AF395" s="382"/>
      <c r="AG395" s="364"/>
      <c r="AH395" s="382"/>
      <c r="AI395" s="364"/>
      <c r="AJ395" s="382"/>
      <c r="AK395" s="364"/>
      <c r="AL395" s="382"/>
      <c r="AM395" s="352"/>
    </row>
    <row r="396" spans="1:39" s="351" customFormat="1">
      <c r="A396" s="363"/>
      <c r="B396" s="363"/>
      <c r="C396" s="364"/>
      <c r="D396" s="364"/>
      <c r="E396" s="364"/>
      <c r="F396" s="364"/>
      <c r="G396" s="364"/>
      <c r="H396" s="382"/>
      <c r="I396" s="364"/>
      <c r="J396" s="382"/>
      <c r="K396" s="364"/>
      <c r="L396" s="364"/>
      <c r="M396" s="364"/>
      <c r="N396" s="382"/>
      <c r="O396" s="364"/>
      <c r="P396" s="364"/>
      <c r="Q396" s="364"/>
      <c r="R396" s="382"/>
      <c r="S396" s="364"/>
      <c r="T396" s="382"/>
      <c r="U396" s="364"/>
      <c r="V396" s="382"/>
      <c r="W396" s="364"/>
      <c r="X396" s="382"/>
      <c r="Y396" s="364"/>
      <c r="Z396" s="382"/>
      <c r="AA396" s="364"/>
      <c r="AB396" s="364"/>
      <c r="AC396" s="364"/>
      <c r="AD396" s="382"/>
      <c r="AE396" s="364"/>
      <c r="AF396" s="382"/>
      <c r="AG396" s="364"/>
      <c r="AH396" s="382"/>
      <c r="AI396" s="364"/>
      <c r="AJ396" s="382"/>
      <c r="AK396" s="364"/>
      <c r="AL396" s="382"/>
      <c r="AM396" s="352"/>
    </row>
    <row r="397" spans="1:39" s="351" customFormat="1">
      <c r="A397" s="363"/>
      <c r="B397" s="363"/>
      <c r="C397" s="364"/>
      <c r="D397" s="364"/>
      <c r="E397" s="364"/>
      <c r="F397" s="364"/>
      <c r="G397" s="364"/>
      <c r="H397" s="382"/>
      <c r="I397" s="364"/>
      <c r="J397" s="382"/>
      <c r="K397" s="364"/>
      <c r="L397" s="364"/>
      <c r="M397" s="364"/>
      <c r="N397" s="382"/>
      <c r="O397" s="364"/>
      <c r="P397" s="364"/>
      <c r="Q397" s="364"/>
      <c r="R397" s="382"/>
      <c r="S397" s="364"/>
      <c r="T397" s="382"/>
      <c r="U397" s="364"/>
      <c r="V397" s="382"/>
      <c r="W397" s="364"/>
      <c r="X397" s="382"/>
      <c r="Y397" s="364"/>
      <c r="Z397" s="382"/>
      <c r="AA397" s="364"/>
      <c r="AB397" s="364"/>
      <c r="AC397" s="364"/>
      <c r="AD397" s="382"/>
      <c r="AE397" s="364"/>
      <c r="AF397" s="382"/>
      <c r="AG397" s="364"/>
      <c r="AH397" s="382"/>
      <c r="AI397" s="364"/>
      <c r="AJ397" s="382"/>
      <c r="AK397" s="364"/>
      <c r="AL397" s="382"/>
      <c r="AM397" s="352"/>
    </row>
    <row r="398" spans="1:39" s="351" customFormat="1">
      <c r="A398" s="363"/>
      <c r="B398" s="363"/>
      <c r="C398" s="364"/>
      <c r="D398" s="364"/>
      <c r="E398" s="364"/>
      <c r="F398" s="364"/>
      <c r="G398" s="364"/>
      <c r="H398" s="382"/>
      <c r="I398" s="364"/>
      <c r="J398" s="382"/>
      <c r="K398" s="364"/>
      <c r="L398" s="364"/>
      <c r="M398" s="364"/>
      <c r="N398" s="382"/>
      <c r="O398" s="364"/>
      <c r="P398" s="364"/>
      <c r="Q398" s="364"/>
      <c r="R398" s="382"/>
      <c r="S398" s="364"/>
      <c r="T398" s="382"/>
      <c r="U398" s="364"/>
      <c r="V398" s="382"/>
      <c r="W398" s="364"/>
      <c r="X398" s="382"/>
      <c r="Y398" s="364"/>
      <c r="Z398" s="382"/>
      <c r="AA398" s="364"/>
      <c r="AB398" s="364"/>
      <c r="AC398" s="364"/>
      <c r="AD398" s="382"/>
      <c r="AE398" s="364"/>
      <c r="AF398" s="382"/>
      <c r="AG398" s="364"/>
      <c r="AH398" s="382"/>
      <c r="AI398" s="364"/>
      <c r="AJ398" s="382"/>
      <c r="AK398" s="364"/>
      <c r="AL398" s="382"/>
      <c r="AM398" s="352"/>
    </row>
    <row r="399" spans="1:39" s="351" customFormat="1">
      <c r="A399" s="363"/>
      <c r="B399" s="363"/>
      <c r="C399" s="364"/>
      <c r="D399" s="364"/>
      <c r="E399" s="364"/>
      <c r="F399" s="364"/>
      <c r="G399" s="364"/>
      <c r="H399" s="382"/>
      <c r="I399" s="364"/>
      <c r="J399" s="382"/>
      <c r="K399" s="364"/>
      <c r="L399" s="364"/>
      <c r="M399" s="364"/>
      <c r="N399" s="382"/>
      <c r="O399" s="364"/>
      <c r="P399" s="364"/>
      <c r="Q399" s="364"/>
      <c r="R399" s="382"/>
      <c r="S399" s="364"/>
      <c r="T399" s="382"/>
      <c r="U399" s="364"/>
      <c r="V399" s="382"/>
      <c r="W399" s="364"/>
      <c r="X399" s="382"/>
      <c r="Y399" s="364"/>
      <c r="Z399" s="382"/>
      <c r="AA399" s="364"/>
      <c r="AB399" s="364"/>
      <c r="AC399" s="364"/>
      <c r="AD399" s="382"/>
      <c r="AE399" s="364"/>
      <c r="AF399" s="382"/>
      <c r="AG399" s="364"/>
      <c r="AH399" s="382"/>
      <c r="AI399" s="364"/>
      <c r="AJ399" s="382"/>
      <c r="AK399" s="364"/>
      <c r="AL399" s="382"/>
      <c r="AM399" s="352"/>
    </row>
    <row r="400" spans="1:39" s="351" customFormat="1">
      <c r="A400" s="363"/>
      <c r="B400" s="363"/>
      <c r="C400" s="364"/>
      <c r="D400" s="364"/>
      <c r="E400" s="364"/>
      <c r="F400" s="364"/>
      <c r="G400" s="364"/>
      <c r="H400" s="382"/>
      <c r="I400" s="364"/>
      <c r="J400" s="382"/>
      <c r="K400" s="364"/>
      <c r="L400" s="364"/>
      <c r="M400" s="364"/>
      <c r="N400" s="382"/>
      <c r="O400" s="364"/>
      <c r="P400" s="364"/>
      <c r="Q400" s="364"/>
      <c r="R400" s="382"/>
      <c r="S400" s="364"/>
      <c r="T400" s="382"/>
      <c r="U400" s="364"/>
      <c r="V400" s="382"/>
      <c r="W400" s="364"/>
      <c r="X400" s="382"/>
      <c r="Y400" s="364"/>
      <c r="Z400" s="382"/>
      <c r="AA400" s="364"/>
      <c r="AB400" s="364"/>
      <c r="AC400" s="364"/>
      <c r="AD400" s="382"/>
      <c r="AE400" s="364"/>
      <c r="AF400" s="382"/>
      <c r="AG400" s="364"/>
      <c r="AH400" s="382"/>
      <c r="AI400" s="364"/>
      <c r="AJ400" s="382"/>
      <c r="AK400" s="364"/>
      <c r="AL400" s="382"/>
      <c r="AM400" s="352"/>
    </row>
    <row r="401" spans="1:39" s="351" customFormat="1">
      <c r="A401" s="363"/>
      <c r="B401" s="363"/>
      <c r="C401" s="364"/>
      <c r="D401" s="364"/>
      <c r="E401" s="364"/>
      <c r="F401" s="364"/>
      <c r="G401" s="364"/>
      <c r="H401" s="382"/>
      <c r="I401" s="364"/>
      <c r="J401" s="382"/>
      <c r="K401" s="364"/>
      <c r="L401" s="364"/>
      <c r="M401" s="364"/>
      <c r="N401" s="382"/>
      <c r="O401" s="364"/>
      <c r="P401" s="364"/>
      <c r="Q401" s="364"/>
      <c r="R401" s="382"/>
      <c r="S401" s="364"/>
      <c r="T401" s="382"/>
      <c r="U401" s="364"/>
      <c r="V401" s="382"/>
      <c r="W401" s="364"/>
      <c r="X401" s="382"/>
      <c r="Y401" s="364"/>
      <c r="Z401" s="382"/>
      <c r="AA401" s="364"/>
      <c r="AB401" s="364"/>
      <c r="AC401" s="364"/>
      <c r="AD401" s="382"/>
      <c r="AE401" s="364"/>
      <c r="AF401" s="382"/>
      <c r="AG401" s="364"/>
      <c r="AH401" s="382"/>
      <c r="AI401" s="364"/>
      <c r="AJ401" s="382"/>
      <c r="AK401" s="364"/>
      <c r="AL401" s="382"/>
      <c r="AM401" s="352"/>
    </row>
    <row r="402" spans="1:39" s="351" customFormat="1">
      <c r="A402" s="363"/>
      <c r="B402" s="363"/>
      <c r="C402" s="364"/>
      <c r="D402" s="364"/>
      <c r="E402" s="364"/>
      <c r="F402" s="364"/>
      <c r="G402" s="364"/>
      <c r="H402" s="382"/>
      <c r="I402" s="364"/>
      <c r="J402" s="382"/>
      <c r="K402" s="364"/>
      <c r="L402" s="364"/>
      <c r="M402" s="364"/>
      <c r="N402" s="382"/>
      <c r="O402" s="364"/>
      <c r="P402" s="364"/>
      <c r="Q402" s="364"/>
      <c r="R402" s="382"/>
      <c r="S402" s="364"/>
      <c r="T402" s="382"/>
      <c r="U402" s="364"/>
      <c r="V402" s="382"/>
      <c r="W402" s="364"/>
      <c r="X402" s="382"/>
      <c r="Y402" s="364"/>
      <c r="Z402" s="382"/>
      <c r="AA402" s="364"/>
      <c r="AB402" s="364"/>
      <c r="AC402" s="364"/>
      <c r="AD402" s="382"/>
      <c r="AE402" s="364"/>
      <c r="AF402" s="382"/>
      <c r="AG402" s="364"/>
      <c r="AH402" s="382"/>
      <c r="AI402" s="364"/>
      <c r="AJ402" s="382"/>
      <c r="AK402" s="364"/>
      <c r="AL402" s="382"/>
      <c r="AM402" s="352"/>
    </row>
    <row r="403" spans="1:39" s="351" customFormat="1">
      <c r="A403" s="363"/>
      <c r="B403" s="363"/>
      <c r="C403" s="364"/>
      <c r="D403" s="364"/>
      <c r="E403" s="364"/>
      <c r="F403" s="364"/>
      <c r="G403" s="364"/>
      <c r="H403" s="382"/>
      <c r="I403" s="364"/>
      <c r="J403" s="382"/>
      <c r="K403" s="364"/>
      <c r="L403" s="364"/>
      <c r="M403" s="364"/>
      <c r="N403" s="382"/>
      <c r="O403" s="364"/>
      <c r="P403" s="364"/>
      <c r="Q403" s="364"/>
      <c r="R403" s="382"/>
      <c r="S403" s="364"/>
      <c r="T403" s="382"/>
      <c r="U403" s="364"/>
      <c r="V403" s="382"/>
      <c r="W403" s="364"/>
      <c r="X403" s="382"/>
      <c r="Y403" s="364"/>
      <c r="Z403" s="382"/>
      <c r="AA403" s="364"/>
      <c r="AB403" s="364"/>
      <c r="AC403" s="364"/>
      <c r="AD403" s="382"/>
      <c r="AE403" s="364"/>
      <c r="AF403" s="382"/>
      <c r="AG403" s="364"/>
      <c r="AH403" s="382"/>
      <c r="AI403" s="364"/>
      <c r="AJ403" s="382"/>
      <c r="AK403" s="364"/>
      <c r="AL403" s="382"/>
      <c r="AM403" s="352"/>
    </row>
    <row r="404" spans="1:39" s="351" customFormat="1">
      <c r="A404" s="363"/>
      <c r="B404" s="363"/>
      <c r="C404" s="364"/>
      <c r="D404" s="364"/>
      <c r="E404" s="364"/>
      <c r="F404" s="364"/>
      <c r="G404" s="364"/>
      <c r="H404" s="382"/>
      <c r="I404" s="364"/>
      <c r="J404" s="382"/>
      <c r="K404" s="364"/>
      <c r="L404" s="364"/>
      <c r="M404" s="364"/>
      <c r="N404" s="382"/>
      <c r="O404" s="364"/>
      <c r="P404" s="364"/>
      <c r="Q404" s="364"/>
      <c r="R404" s="382"/>
      <c r="S404" s="364"/>
      <c r="T404" s="382"/>
      <c r="U404" s="364"/>
      <c r="V404" s="382"/>
      <c r="W404" s="364"/>
      <c r="X404" s="382"/>
      <c r="Y404" s="364"/>
      <c r="Z404" s="382"/>
      <c r="AA404" s="364"/>
      <c r="AB404" s="364"/>
      <c r="AC404" s="364"/>
      <c r="AD404" s="382"/>
      <c r="AE404" s="364"/>
      <c r="AF404" s="382"/>
      <c r="AG404" s="364"/>
      <c r="AH404" s="382"/>
      <c r="AI404" s="364"/>
      <c r="AJ404" s="382"/>
      <c r="AK404" s="364"/>
      <c r="AL404" s="382"/>
      <c r="AM404" s="352"/>
    </row>
    <row r="405" spans="1:39" s="351" customFormat="1">
      <c r="A405" s="363"/>
      <c r="B405" s="363"/>
      <c r="C405" s="364"/>
      <c r="D405" s="364"/>
      <c r="E405" s="364"/>
      <c r="F405" s="364"/>
      <c r="G405" s="364"/>
      <c r="H405" s="382"/>
      <c r="I405" s="364"/>
      <c r="J405" s="382"/>
      <c r="K405" s="364"/>
      <c r="L405" s="364"/>
      <c r="M405" s="364"/>
      <c r="N405" s="382"/>
      <c r="O405" s="364"/>
      <c r="P405" s="364"/>
      <c r="Q405" s="364"/>
      <c r="R405" s="382"/>
      <c r="S405" s="364"/>
      <c r="T405" s="382"/>
      <c r="U405" s="364"/>
      <c r="V405" s="382"/>
      <c r="W405" s="364"/>
      <c r="X405" s="382"/>
      <c r="Y405" s="364"/>
      <c r="Z405" s="382"/>
      <c r="AA405" s="364"/>
      <c r="AB405" s="364"/>
      <c r="AC405" s="364"/>
      <c r="AD405" s="382"/>
      <c r="AE405" s="364"/>
      <c r="AF405" s="382"/>
      <c r="AG405" s="364"/>
      <c r="AH405" s="382"/>
      <c r="AI405" s="364"/>
      <c r="AJ405" s="382"/>
      <c r="AK405" s="364"/>
      <c r="AL405" s="382"/>
      <c r="AM405" s="352"/>
    </row>
    <row r="406" spans="1:39" s="351" customFormat="1">
      <c r="A406" s="363"/>
      <c r="B406" s="363"/>
      <c r="C406" s="364"/>
      <c r="D406" s="364"/>
      <c r="E406" s="364"/>
      <c r="F406" s="364"/>
      <c r="G406" s="364"/>
      <c r="H406" s="382"/>
      <c r="I406" s="364"/>
      <c r="J406" s="382"/>
      <c r="K406" s="364"/>
      <c r="L406" s="364"/>
      <c r="M406" s="364"/>
      <c r="N406" s="382"/>
      <c r="O406" s="364"/>
      <c r="P406" s="364"/>
      <c r="Q406" s="364"/>
      <c r="R406" s="382"/>
      <c r="S406" s="364"/>
      <c r="T406" s="382"/>
      <c r="U406" s="364"/>
      <c r="V406" s="382"/>
      <c r="W406" s="364"/>
      <c r="X406" s="382"/>
      <c r="Y406" s="364"/>
      <c r="Z406" s="382"/>
      <c r="AA406" s="364"/>
      <c r="AB406" s="364"/>
      <c r="AC406" s="364"/>
      <c r="AD406" s="382"/>
      <c r="AE406" s="364"/>
      <c r="AF406" s="382"/>
      <c r="AG406" s="364"/>
      <c r="AH406" s="382"/>
      <c r="AI406" s="364"/>
      <c r="AJ406" s="382"/>
      <c r="AK406" s="364"/>
      <c r="AL406" s="382"/>
      <c r="AM406" s="352"/>
    </row>
    <row r="407" spans="1:39" s="351" customFormat="1">
      <c r="A407" s="363"/>
      <c r="B407" s="363"/>
      <c r="C407" s="364"/>
      <c r="D407" s="364"/>
      <c r="E407" s="364"/>
      <c r="F407" s="364"/>
      <c r="G407" s="364"/>
      <c r="H407" s="382"/>
      <c r="I407" s="364"/>
      <c r="J407" s="382"/>
      <c r="K407" s="364"/>
      <c r="L407" s="364"/>
      <c r="M407" s="364"/>
      <c r="N407" s="382"/>
      <c r="O407" s="364"/>
      <c r="P407" s="364"/>
      <c r="Q407" s="364"/>
      <c r="R407" s="382"/>
      <c r="S407" s="364"/>
      <c r="T407" s="382"/>
      <c r="U407" s="364"/>
      <c r="V407" s="382"/>
      <c r="W407" s="364"/>
      <c r="X407" s="382"/>
      <c r="Y407" s="364"/>
      <c r="Z407" s="382"/>
      <c r="AA407" s="364"/>
      <c r="AB407" s="364"/>
      <c r="AC407" s="364"/>
      <c r="AD407" s="382"/>
      <c r="AE407" s="364"/>
      <c r="AF407" s="382"/>
      <c r="AG407" s="364"/>
      <c r="AH407" s="382"/>
      <c r="AI407" s="364"/>
      <c r="AJ407" s="382"/>
      <c r="AK407" s="364"/>
      <c r="AL407" s="382"/>
      <c r="AM407" s="352"/>
    </row>
    <row r="408" spans="1:39" s="351" customFormat="1">
      <c r="A408" s="363"/>
      <c r="B408" s="363"/>
      <c r="C408" s="364"/>
      <c r="D408" s="364"/>
      <c r="E408" s="364"/>
      <c r="F408" s="364"/>
      <c r="G408" s="364"/>
      <c r="H408" s="382"/>
      <c r="I408" s="364"/>
      <c r="J408" s="382"/>
      <c r="K408" s="364"/>
      <c r="L408" s="364"/>
      <c r="M408" s="364"/>
      <c r="N408" s="382"/>
      <c r="O408" s="364"/>
      <c r="P408" s="364"/>
      <c r="Q408" s="364"/>
      <c r="R408" s="382"/>
      <c r="S408" s="364"/>
      <c r="T408" s="382"/>
      <c r="U408" s="364"/>
      <c r="V408" s="382"/>
      <c r="W408" s="364"/>
      <c r="X408" s="382"/>
      <c r="Y408" s="364"/>
      <c r="Z408" s="382"/>
      <c r="AA408" s="364"/>
      <c r="AB408" s="364"/>
      <c r="AC408" s="364"/>
      <c r="AD408" s="382"/>
      <c r="AE408" s="364"/>
      <c r="AF408" s="382"/>
      <c r="AG408" s="364"/>
      <c r="AH408" s="382"/>
      <c r="AI408" s="364"/>
      <c r="AJ408" s="382"/>
      <c r="AK408" s="364"/>
      <c r="AL408" s="382"/>
      <c r="AM408" s="352"/>
    </row>
    <row r="409" spans="1:39" s="351" customFormat="1">
      <c r="A409" s="363"/>
      <c r="B409" s="363"/>
      <c r="C409" s="364"/>
      <c r="D409" s="364"/>
      <c r="E409" s="364"/>
      <c r="F409" s="364"/>
      <c r="G409" s="364"/>
      <c r="H409" s="382"/>
      <c r="I409" s="364"/>
      <c r="J409" s="382"/>
      <c r="K409" s="364"/>
      <c r="L409" s="364"/>
      <c r="M409" s="364"/>
      <c r="N409" s="382"/>
      <c r="O409" s="364"/>
      <c r="P409" s="364"/>
      <c r="Q409" s="364"/>
      <c r="R409" s="382"/>
      <c r="S409" s="364"/>
      <c r="T409" s="382"/>
      <c r="U409" s="364"/>
      <c r="V409" s="382"/>
      <c r="W409" s="364"/>
      <c r="X409" s="382"/>
      <c r="Y409" s="364"/>
      <c r="Z409" s="382"/>
      <c r="AA409" s="364"/>
      <c r="AB409" s="364"/>
      <c r="AC409" s="364"/>
      <c r="AD409" s="382"/>
      <c r="AE409" s="364"/>
      <c r="AF409" s="382"/>
      <c r="AG409" s="364"/>
      <c r="AH409" s="382"/>
      <c r="AI409" s="364"/>
      <c r="AJ409" s="382"/>
      <c r="AK409" s="364"/>
      <c r="AL409" s="382"/>
      <c r="AM409" s="352"/>
    </row>
    <row r="410" spans="1:39" s="351" customFormat="1">
      <c r="A410" s="363"/>
      <c r="B410" s="363"/>
      <c r="C410" s="364"/>
      <c r="D410" s="364"/>
      <c r="E410" s="364"/>
      <c r="F410" s="364"/>
      <c r="G410" s="364"/>
      <c r="H410" s="382"/>
      <c r="I410" s="364"/>
      <c r="J410" s="382"/>
      <c r="K410" s="364"/>
      <c r="L410" s="364"/>
      <c r="M410" s="364"/>
      <c r="N410" s="382"/>
      <c r="O410" s="364"/>
      <c r="P410" s="364"/>
      <c r="Q410" s="364"/>
      <c r="R410" s="382"/>
      <c r="S410" s="364"/>
      <c r="T410" s="382"/>
      <c r="U410" s="364"/>
      <c r="V410" s="382"/>
      <c r="W410" s="364"/>
      <c r="X410" s="382"/>
      <c r="Y410" s="364"/>
      <c r="Z410" s="382"/>
      <c r="AA410" s="364"/>
      <c r="AB410" s="364"/>
      <c r="AC410" s="364"/>
      <c r="AD410" s="382"/>
      <c r="AE410" s="364"/>
      <c r="AF410" s="382"/>
      <c r="AG410" s="364"/>
      <c r="AH410" s="382"/>
      <c r="AI410" s="364"/>
      <c r="AJ410" s="382"/>
      <c r="AK410" s="364"/>
      <c r="AL410" s="382"/>
      <c r="AM410" s="352"/>
    </row>
    <row r="411" spans="1:39" s="351" customFormat="1">
      <c r="A411" s="363"/>
      <c r="B411" s="363"/>
      <c r="C411" s="364"/>
      <c r="D411" s="364"/>
      <c r="E411" s="364"/>
      <c r="F411" s="364"/>
      <c r="G411" s="364"/>
      <c r="H411" s="382"/>
      <c r="I411" s="364"/>
      <c r="J411" s="382"/>
      <c r="K411" s="364"/>
      <c r="L411" s="364"/>
      <c r="M411" s="364"/>
      <c r="N411" s="382"/>
      <c r="O411" s="364"/>
      <c r="P411" s="364"/>
      <c r="Q411" s="364"/>
      <c r="R411" s="382"/>
      <c r="S411" s="364"/>
      <c r="T411" s="382"/>
      <c r="U411" s="364"/>
      <c r="V411" s="382"/>
      <c r="W411" s="364"/>
      <c r="X411" s="382"/>
      <c r="Y411" s="364"/>
      <c r="Z411" s="382"/>
      <c r="AA411" s="364"/>
      <c r="AB411" s="364"/>
      <c r="AC411" s="364"/>
      <c r="AD411" s="382"/>
      <c r="AE411" s="364"/>
      <c r="AF411" s="382"/>
      <c r="AG411" s="364"/>
      <c r="AH411" s="382"/>
      <c r="AI411" s="364"/>
      <c r="AJ411" s="382"/>
      <c r="AK411" s="364"/>
      <c r="AL411" s="382"/>
      <c r="AM411" s="352"/>
    </row>
    <row r="412" spans="1:39" s="351" customFormat="1">
      <c r="A412" s="363"/>
      <c r="B412" s="363"/>
      <c r="C412" s="364"/>
      <c r="D412" s="364"/>
      <c r="E412" s="364"/>
      <c r="F412" s="364"/>
      <c r="G412" s="364"/>
      <c r="H412" s="382"/>
      <c r="I412" s="364"/>
      <c r="J412" s="382"/>
      <c r="K412" s="364"/>
      <c r="L412" s="364"/>
      <c r="M412" s="364"/>
      <c r="N412" s="382"/>
      <c r="O412" s="364"/>
      <c r="P412" s="364"/>
      <c r="Q412" s="364"/>
      <c r="R412" s="382"/>
      <c r="S412" s="364"/>
      <c r="T412" s="382"/>
      <c r="U412" s="364"/>
      <c r="V412" s="382"/>
      <c r="W412" s="364"/>
      <c r="X412" s="382"/>
      <c r="Y412" s="364"/>
      <c r="Z412" s="382"/>
      <c r="AA412" s="364"/>
      <c r="AB412" s="364"/>
      <c r="AC412" s="364"/>
      <c r="AD412" s="382"/>
      <c r="AE412" s="364"/>
      <c r="AF412" s="382"/>
      <c r="AG412" s="364"/>
      <c r="AH412" s="382"/>
      <c r="AI412" s="364"/>
      <c r="AJ412" s="382"/>
      <c r="AK412" s="364"/>
      <c r="AL412" s="382"/>
      <c r="AM412" s="352"/>
    </row>
    <row r="413" spans="1:39" s="351" customFormat="1">
      <c r="A413" s="363"/>
      <c r="B413" s="363"/>
      <c r="C413" s="364"/>
      <c r="D413" s="364"/>
      <c r="E413" s="364"/>
      <c r="F413" s="364"/>
      <c r="G413" s="364"/>
      <c r="H413" s="382"/>
      <c r="I413" s="364"/>
      <c r="J413" s="382"/>
      <c r="K413" s="364"/>
      <c r="L413" s="364"/>
      <c r="M413" s="364"/>
      <c r="N413" s="382"/>
      <c r="O413" s="364"/>
      <c r="P413" s="364"/>
      <c r="Q413" s="364"/>
      <c r="R413" s="382"/>
      <c r="S413" s="364"/>
      <c r="T413" s="382"/>
      <c r="U413" s="364"/>
      <c r="V413" s="382"/>
      <c r="W413" s="364"/>
      <c r="X413" s="382"/>
      <c r="Y413" s="364"/>
      <c r="Z413" s="382"/>
      <c r="AA413" s="364"/>
      <c r="AB413" s="364"/>
      <c r="AC413" s="364"/>
      <c r="AD413" s="382"/>
      <c r="AE413" s="364"/>
      <c r="AF413" s="382"/>
      <c r="AG413" s="364"/>
      <c r="AH413" s="382"/>
      <c r="AI413" s="364"/>
      <c r="AJ413" s="382"/>
      <c r="AK413" s="364"/>
      <c r="AL413" s="382"/>
      <c r="AM413" s="352"/>
    </row>
    <row r="414" spans="1:39" s="351" customFormat="1">
      <c r="A414" s="363"/>
      <c r="B414" s="363"/>
      <c r="C414" s="364"/>
      <c r="D414" s="364"/>
      <c r="E414" s="364"/>
      <c r="F414" s="364"/>
      <c r="G414" s="364"/>
      <c r="H414" s="382"/>
      <c r="I414" s="364"/>
      <c r="J414" s="382"/>
      <c r="K414" s="364"/>
      <c r="L414" s="364"/>
      <c r="M414" s="364"/>
      <c r="N414" s="382"/>
      <c r="O414" s="364"/>
      <c r="P414" s="364"/>
      <c r="Q414" s="364"/>
      <c r="R414" s="382"/>
      <c r="S414" s="364"/>
      <c r="T414" s="382"/>
      <c r="U414" s="364"/>
      <c r="V414" s="382"/>
      <c r="W414" s="364"/>
      <c r="X414" s="382"/>
      <c r="Y414" s="364"/>
      <c r="Z414" s="382"/>
      <c r="AA414" s="364"/>
      <c r="AB414" s="364"/>
      <c r="AC414" s="364"/>
      <c r="AD414" s="382"/>
      <c r="AE414" s="364"/>
      <c r="AF414" s="382"/>
      <c r="AG414" s="364"/>
      <c r="AH414" s="382"/>
      <c r="AI414" s="364"/>
      <c r="AJ414" s="382"/>
      <c r="AK414" s="364"/>
      <c r="AL414" s="382"/>
      <c r="AM414" s="352"/>
    </row>
    <row r="415" spans="1:39" s="351" customFormat="1">
      <c r="A415" s="363"/>
      <c r="B415" s="363"/>
      <c r="C415" s="364"/>
      <c r="D415" s="364"/>
      <c r="E415" s="364"/>
      <c r="F415" s="364"/>
      <c r="G415" s="364"/>
      <c r="H415" s="382"/>
      <c r="I415" s="364"/>
      <c r="J415" s="382"/>
      <c r="K415" s="364"/>
      <c r="L415" s="364"/>
      <c r="M415" s="364"/>
      <c r="N415" s="382"/>
      <c r="O415" s="364"/>
      <c r="P415" s="364"/>
      <c r="Q415" s="364"/>
      <c r="R415" s="382"/>
      <c r="S415" s="364"/>
      <c r="T415" s="382"/>
      <c r="U415" s="364"/>
      <c r="V415" s="382"/>
      <c r="W415" s="364"/>
      <c r="X415" s="382"/>
      <c r="Y415" s="364"/>
      <c r="Z415" s="382"/>
      <c r="AA415" s="364"/>
      <c r="AB415" s="364"/>
      <c r="AC415" s="364"/>
      <c r="AD415" s="382"/>
      <c r="AE415" s="364"/>
      <c r="AF415" s="382"/>
      <c r="AG415" s="364"/>
      <c r="AH415" s="382"/>
      <c r="AI415" s="364"/>
      <c r="AJ415" s="382"/>
      <c r="AK415" s="364"/>
      <c r="AL415" s="382"/>
      <c r="AM415" s="352"/>
    </row>
    <row r="416" spans="1:39" s="351" customFormat="1">
      <c r="A416" s="363"/>
      <c r="B416" s="363"/>
      <c r="C416" s="364"/>
      <c r="D416" s="364"/>
      <c r="E416" s="364"/>
      <c r="F416" s="364"/>
      <c r="G416" s="364"/>
      <c r="H416" s="382"/>
      <c r="I416" s="364"/>
      <c r="J416" s="382"/>
      <c r="K416" s="364"/>
      <c r="L416" s="364"/>
      <c r="M416" s="364"/>
      <c r="N416" s="382"/>
      <c r="O416" s="364"/>
      <c r="P416" s="364"/>
      <c r="Q416" s="364"/>
      <c r="R416" s="382"/>
      <c r="S416" s="364"/>
      <c r="T416" s="382"/>
      <c r="U416" s="364"/>
      <c r="V416" s="382"/>
      <c r="W416" s="364"/>
      <c r="X416" s="382"/>
      <c r="Y416" s="364"/>
      <c r="Z416" s="382"/>
      <c r="AA416" s="364"/>
      <c r="AB416" s="364"/>
      <c r="AC416" s="364"/>
      <c r="AD416" s="382"/>
      <c r="AE416" s="364"/>
      <c r="AF416" s="382"/>
      <c r="AG416" s="364"/>
      <c r="AH416" s="382"/>
      <c r="AI416" s="364"/>
      <c r="AJ416" s="382"/>
      <c r="AK416" s="364"/>
      <c r="AL416" s="382"/>
      <c r="AM416" s="352"/>
    </row>
    <row r="417" spans="1:39" s="351" customFormat="1">
      <c r="A417" s="363"/>
      <c r="B417" s="363"/>
      <c r="C417" s="364"/>
      <c r="D417" s="364"/>
      <c r="E417" s="364"/>
      <c r="F417" s="364"/>
      <c r="G417" s="364"/>
      <c r="H417" s="382"/>
      <c r="I417" s="364"/>
      <c r="J417" s="382"/>
      <c r="K417" s="364"/>
      <c r="L417" s="364"/>
      <c r="M417" s="364"/>
      <c r="N417" s="382"/>
      <c r="O417" s="364"/>
      <c r="P417" s="364"/>
      <c r="Q417" s="364"/>
      <c r="R417" s="382"/>
      <c r="S417" s="364"/>
      <c r="T417" s="382"/>
      <c r="U417" s="364"/>
      <c r="V417" s="382"/>
      <c r="W417" s="364"/>
      <c r="X417" s="382"/>
      <c r="Y417" s="364"/>
      <c r="Z417" s="382"/>
      <c r="AA417" s="364"/>
      <c r="AB417" s="364"/>
      <c r="AC417" s="364"/>
      <c r="AD417" s="382"/>
      <c r="AE417" s="364"/>
      <c r="AF417" s="382"/>
      <c r="AG417" s="364"/>
      <c r="AH417" s="382"/>
      <c r="AI417" s="364"/>
      <c r="AJ417" s="382"/>
      <c r="AK417" s="364"/>
      <c r="AL417" s="382"/>
      <c r="AM417" s="352"/>
    </row>
    <row r="418" spans="1:39" s="351" customFormat="1">
      <c r="A418" s="363"/>
      <c r="B418" s="363"/>
      <c r="C418" s="364"/>
      <c r="D418" s="364"/>
      <c r="E418" s="364"/>
      <c r="F418" s="364"/>
      <c r="G418" s="364"/>
      <c r="H418" s="382"/>
      <c r="I418" s="364"/>
      <c r="J418" s="382"/>
      <c r="K418" s="364"/>
      <c r="L418" s="364"/>
      <c r="M418" s="364"/>
      <c r="N418" s="382"/>
      <c r="O418" s="364"/>
      <c r="P418" s="364"/>
      <c r="Q418" s="364"/>
      <c r="R418" s="382"/>
      <c r="S418" s="364"/>
      <c r="T418" s="382"/>
      <c r="U418" s="364"/>
      <c r="V418" s="382"/>
      <c r="W418" s="364"/>
      <c r="X418" s="382"/>
      <c r="Y418" s="364"/>
      <c r="Z418" s="382"/>
      <c r="AA418" s="364"/>
      <c r="AB418" s="364"/>
      <c r="AC418" s="364"/>
      <c r="AD418" s="382"/>
      <c r="AE418" s="364"/>
      <c r="AF418" s="382"/>
      <c r="AG418" s="364"/>
      <c r="AH418" s="382"/>
      <c r="AI418" s="364"/>
      <c r="AJ418" s="382"/>
      <c r="AK418" s="364"/>
      <c r="AL418" s="382"/>
      <c r="AM418" s="352"/>
    </row>
    <row r="419" spans="1:39" s="351" customFormat="1">
      <c r="A419" s="363"/>
      <c r="B419" s="363"/>
      <c r="C419" s="364"/>
      <c r="D419" s="364"/>
      <c r="E419" s="364"/>
      <c r="F419" s="364"/>
      <c r="G419" s="364"/>
      <c r="H419" s="382"/>
      <c r="I419" s="364"/>
      <c r="J419" s="382"/>
      <c r="K419" s="364"/>
      <c r="L419" s="364"/>
      <c r="M419" s="364"/>
      <c r="N419" s="382"/>
      <c r="O419" s="364"/>
      <c r="P419" s="364"/>
      <c r="Q419" s="364"/>
      <c r="R419" s="382"/>
      <c r="S419" s="364"/>
      <c r="T419" s="382"/>
      <c r="U419" s="364"/>
      <c r="V419" s="382"/>
      <c r="W419" s="364"/>
      <c r="X419" s="382"/>
      <c r="Y419" s="364"/>
      <c r="Z419" s="382"/>
      <c r="AA419" s="364"/>
      <c r="AB419" s="364"/>
      <c r="AC419" s="364"/>
      <c r="AD419" s="382"/>
      <c r="AE419" s="364"/>
      <c r="AF419" s="382"/>
      <c r="AG419" s="364"/>
      <c r="AH419" s="382"/>
      <c r="AI419" s="364"/>
      <c r="AJ419" s="382"/>
      <c r="AK419" s="364"/>
      <c r="AL419" s="382"/>
      <c r="AM419" s="352"/>
    </row>
    <row r="420" spans="1:39" s="351" customFormat="1">
      <c r="A420" s="363"/>
      <c r="B420" s="363"/>
      <c r="C420" s="364"/>
      <c r="D420" s="364"/>
      <c r="E420" s="364"/>
      <c r="F420" s="364"/>
      <c r="G420" s="364"/>
      <c r="H420" s="382"/>
      <c r="I420" s="364"/>
      <c r="J420" s="382"/>
      <c r="K420" s="364"/>
      <c r="L420" s="364"/>
      <c r="M420" s="364"/>
      <c r="N420" s="382"/>
      <c r="O420" s="364"/>
      <c r="P420" s="364"/>
      <c r="Q420" s="364"/>
      <c r="R420" s="382"/>
      <c r="S420" s="364"/>
      <c r="T420" s="382"/>
      <c r="U420" s="364"/>
      <c r="V420" s="382"/>
      <c r="W420" s="364"/>
      <c r="X420" s="382"/>
      <c r="Y420" s="364"/>
      <c r="Z420" s="382"/>
      <c r="AA420" s="364"/>
      <c r="AB420" s="364"/>
      <c r="AC420" s="364"/>
      <c r="AD420" s="382"/>
      <c r="AE420" s="364"/>
      <c r="AF420" s="382"/>
      <c r="AG420" s="364"/>
      <c r="AH420" s="382"/>
      <c r="AI420" s="364"/>
      <c r="AJ420" s="382"/>
      <c r="AK420" s="364"/>
      <c r="AL420" s="382"/>
      <c r="AM420" s="352"/>
    </row>
    <row r="421" spans="1:39" s="351" customFormat="1">
      <c r="A421" s="363"/>
      <c r="B421" s="363"/>
      <c r="C421" s="364"/>
      <c r="D421" s="364"/>
      <c r="E421" s="364"/>
      <c r="F421" s="364"/>
      <c r="G421" s="364"/>
      <c r="H421" s="382"/>
      <c r="I421" s="364"/>
      <c r="J421" s="382"/>
      <c r="K421" s="364"/>
      <c r="L421" s="364"/>
      <c r="M421" s="364"/>
      <c r="N421" s="382"/>
      <c r="O421" s="364"/>
      <c r="P421" s="364"/>
      <c r="Q421" s="364"/>
      <c r="R421" s="382"/>
      <c r="S421" s="364"/>
      <c r="T421" s="382"/>
      <c r="U421" s="364"/>
      <c r="V421" s="382"/>
      <c r="W421" s="364"/>
      <c r="X421" s="382"/>
      <c r="Y421" s="364"/>
      <c r="Z421" s="382"/>
      <c r="AA421" s="364"/>
      <c r="AB421" s="364"/>
      <c r="AC421" s="364"/>
      <c r="AD421" s="382"/>
      <c r="AE421" s="364"/>
      <c r="AF421" s="382"/>
      <c r="AG421" s="364"/>
      <c r="AH421" s="382"/>
      <c r="AI421" s="364"/>
      <c r="AJ421" s="382"/>
      <c r="AK421" s="364"/>
      <c r="AL421" s="382"/>
      <c r="AM421" s="352"/>
    </row>
    <row r="422" spans="1:39" s="351" customFormat="1">
      <c r="A422" s="363"/>
      <c r="B422" s="363"/>
      <c r="C422" s="364"/>
      <c r="D422" s="364"/>
      <c r="E422" s="364"/>
      <c r="F422" s="364"/>
      <c r="G422" s="364"/>
      <c r="H422" s="382"/>
      <c r="I422" s="364"/>
      <c r="J422" s="382"/>
      <c r="K422" s="364"/>
      <c r="L422" s="364"/>
      <c r="M422" s="364"/>
      <c r="N422" s="382"/>
      <c r="O422" s="364"/>
      <c r="P422" s="364"/>
      <c r="Q422" s="364"/>
      <c r="R422" s="382"/>
      <c r="S422" s="364"/>
      <c r="T422" s="382"/>
      <c r="U422" s="364"/>
      <c r="V422" s="382"/>
      <c r="W422" s="364"/>
      <c r="X422" s="382"/>
      <c r="Y422" s="364"/>
      <c r="Z422" s="382"/>
      <c r="AA422" s="364"/>
      <c r="AB422" s="364"/>
      <c r="AC422" s="364"/>
      <c r="AD422" s="382"/>
      <c r="AE422" s="364"/>
      <c r="AF422" s="382"/>
      <c r="AG422" s="364"/>
      <c r="AH422" s="382"/>
      <c r="AI422" s="364"/>
      <c r="AJ422" s="382"/>
      <c r="AK422" s="364"/>
      <c r="AL422" s="382"/>
      <c r="AM422" s="352"/>
    </row>
    <row r="423" spans="1:39" s="351" customFormat="1">
      <c r="A423" s="363"/>
      <c r="B423" s="363"/>
      <c r="C423" s="364"/>
      <c r="D423" s="364"/>
      <c r="E423" s="364"/>
      <c r="F423" s="364"/>
      <c r="G423" s="364"/>
      <c r="H423" s="382"/>
      <c r="I423" s="364"/>
      <c r="J423" s="382"/>
      <c r="K423" s="364"/>
      <c r="L423" s="364"/>
      <c r="M423" s="364"/>
      <c r="N423" s="382"/>
      <c r="O423" s="364"/>
      <c r="P423" s="364"/>
      <c r="Q423" s="364"/>
      <c r="R423" s="382"/>
      <c r="S423" s="364"/>
      <c r="T423" s="382"/>
      <c r="U423" s="364"/>
      <c r="V423" s="382"/>
      <c r="W423" s="364"/>
      <c r="X423" s="382"/>
      <c r="Y423" s="364"/>
      <c r="Z423" s="382"/>
      <c r="AA423" s="364"/>
      <c r="AB423" s="364"/>
      <c r="AC423" s="364"/>
      <c r="AD423" s="382"/>
      <c r="AE423" s="364"/>
      <c r="AF423" s="382"/>
      <c r="AG423" s="364"/>
      <c r="AH423" s="382"/>
      <c r="AI423" s="364"/>
      <c r="AJ423" s="382"/>
      <c r="AK423" s="364"/>
      <c r="AL423" s="382"/>
      <c r="AM423" s="352"/>
    </row>
    <row r="424" spans="1:39" s="351" customFormat="1">
      <c r="A424" s="363"/>
      <c r="B424" s="363"/>
      <c r="C424" s="364"/>
      <c r="D424" s="364"/>
      <c r="E424" s="364"/>
      <c r="F424" s="364"/>
      <c r="G424" s="364"/>
      <c r="H424" s="382"/>
      <c r="I424" s="364"/>
      <c r="J424" s="382"/>
      <c r="K424" s="364"/>
      <c r="L424" s="364"/>
      <c r="M424" s="364"/>
      <c r="N424" s="382"/>
      <c r="O424" s="364"/>
      <c r="P424" s="364"/>
      <c r="Q424" s="364"/>
      <c r="R424" s="382"/>
      <c r="S424" s="364"/>
      <c r="T424" s="382"/>
      <c r="U424" s="364"/>
      <c r="V424" s="382"/>
      <c r="W424" s="364"/>
      <c r="X424" s="382"/>
      <c r="Y424" s="364"/>
      <c r="Z424" s="382"/>
      <c r="AA424" s="364"/>
      <c r="AB424" s="364"/>
      <c r="AC424" s="364"/>
      <c r="AD424" s="382"/>
      <c r="AE424" s="364"/>
      <c r="AF424" s="382"/>
      <c r="AG424" s="364"/>
      <c r="AH424" s="382"/>
      <c r="AI424" s="364"/>
      <c r="AJ424" s="382"/>
      <c r="AK424" s="364"/>
      <c r="AL424" s="382"/>
      <c r="AM424" s="352"/>
    </row>
    <row r="425" spans="1:39" s="351" customFormat="1">
      <c r="A425" s="363"/>
      <c r="B425" s="363"/>
      <c r="C425" s="364"/>
      <c r="D425" s="364"/>
      <c r="E425" s="364"/>
      <c r="F425" s="364"/>
      <c r="G425" s="364"/>
      <c r="H425" s="382"/>
      <c r="I425" s="364"/>
      <c r="J425" s="382"/>
      <c r="K425" s="364"/>
      <c r="L425" s="364"/>
      <c r="M425" s="364"/>
      <c r="N425" s="382"/>
      <c r="O425" s="364"/>
      <c r="P425" s="364"/>
      <c r="Q425" s="364"/>
      <c r="R425" s="382"/>
      <c r="S425" s="364"/>
      <c r="T425" s="382"/>
      <c r="U425" s="364"/>
      <c r="V425" s="382"/>
      <c r="W425" s="364"/>
      <c r="X425" s="382"/>
      <c r="Y425" s="364"/>
      <c r="Z425" s="382"/>
      <c r="AA425" s="364"/>
      <c r="AB425" s="364"/>
      <c r="AC425" s="364"/>
      <c r="AD425" s="382"/>
      <c r="AE425" s="364"/>
      <c r="AF425" s="382"/>
      <c r="AG425" s="364"/>
      <c r="AH425" s="382"/>
      <c r="AI425" s="364"/>
      <c r="AJ425" s="382"/>
      <c r="AK425" s="364"/>
      <c r="AL425" s="382"/>
      <c r="AM425" s="352"/>
    </row>
    <row r="426" spans="1:39" s="351" customFormat="1">
      <c r="A426" s="363"/>
      <c r="B426" s="363"/>
      <c r="C426" s="364"/>
      <c r="D426" s="364"/>
      <c r="E426" s="364"/>
      <c r="F426" s="364"/>
      <c r="G426" s="364"/>
      <c r="H426" s="382"/>
      <c r="I426" s="364"/>
      <c r="J426" s="382"/>
      <c r="K426" s="364"/>
      <c r="L426" s="364"/>
      <c r="M426" s="364"/>
      <c r="N426" s="382"/>
      <c r="O426" s="364"/>
      <c r="P426" s="364"/>
      <c r="Q426" s="364"/>
      <c r="R426" s="382"/>
      <c r="S426" s="364"/>
      <c r="T426" s="382"/>
      <c r="U426" s="364"/>
      <c r="V426" s="382"/>
      <c r="W426" s="364"/>
      <c r="X426" s="382"/>
      <c r="Y426" s="364"/>
      <c r="Z426" s="382"/>
      <c r="AA426" s="364"/>
      <c r="AB426" s="364"/>
      <c r="AC426" s="364"/>
      <c r="AD426" s="382"/>
      <c r="AE426" s="364"/>
      <c r="AF426" s="382"/>
      <c r="AG426" s="364"/>
      <c r="AH426" s="382"/>
      <c r="AI426" s="364"/>
      <c r="AJ426" s="382"/>
      <c r="AK426" s="364"/>
      <c r="AL426" s="382"/>
      <c r="AM426" s="352"/>
    </row>
    <row r="427" spans="1:39" s="351" customFormat="1">
      <c r="A427" s="363"/>
      <c r="B427" s="363"/>
      <c r="C427" s="364"/>
      <c r="D427" s="364"/>
      <c r="E427" s="364"/>
      <c r="F427" s="364"/>
      <c r="G427" s="364"/>
      <c r="H427" s="382"/>
      <c r="I427" s="364"/>
      <c r="J427" s="382"/>
      <c r="K427" s="364"/>
      <c r="L427" s="364"/>
      <c r="M427" s="364"/>
      <c r="N427" s="382"/>
      <c r="O427" s="364"/>
      <c r="P427" s="364"/>
      <c r="Q427" s="364"/>
      <c r="R427" s="382"/>
      <c r="S427" s="364"/>
      <c r="T427" s="382"/>
      <c r="U427" s="364"/>
      <c r="V427" s="382"/>
      <c r="W427" s="364"/>
      <c r="X427" s="382"/>
      <c r="Y427" s="364"/>
      <c r="Z427" s="382"/>
      <c r="AA427" s="364"/>
      <c r="AB427" s="364"/>
      <c r="AC427" s="364"/>
      <c r="AD427" s="382"/>
      <c r="AE427" s="364"/>
      <c r="AF427" s="382"/>
      <c r="AG427" s="364"/>
      <c r="AH427" s="382"/>
      <c r="AI427" s="364"/>
      <c r="AJ427" s="382"/>
      <c r="AK427" s="364"/>
      <c r="AL427" s="382"/>
      <c r="AM427" s="352"/>
    </row>
    <row r="428" spans="1:39" s="351" customFormat="1">
      <c r="A428" s="363"/>
      <c r="B428" s="363"/>
      <c r="C428" s="364"/>
      <c r="D428" s="364"/>
      <c r="E428" s="364"/>
      <c r="F428" s="364"/>
      <c r="G428" s="364"/>
      <c r="H428" s="382"/>
      <c r="I428" s="364"/>
      <c r="J428" s="382"/>
      <c r="K428" s="364"/>
      <c r="L428" s="364"/>
      <c r="M428" s="364"/>
      <c r="N428" s="382"/>
      <c r="O428" s="364"/>
      <c r="P428" s="364"/>
      <c r="Q428" s="364"/>
      <c r="R428" s="382"/>
      <c r="S428" s="364"/>
      <c r="T428" s="382"/>
      <c r="U428" s="364"/>
      <c r="V428" s="382"/>
      <c r="W428" s="364"/>
      <c r="X428" s="382"/>
      <c r="Y428" s="364"/>
      <c r="Z428" s="382"/>
      <c r="AA428" s="364"/>
      <c r="AB428" s="364"/>
      <c r="AC428" s="364"/>
      <c r="AD428" s="382"/>
      <c r="AE428" s="364"/>
      <c r="AF428" s="382"/>
      <c r="AG428" s="364"/>
      <c r="AH428" s="382"/>
      <c r="AI428" s="364"/>
      <c r="AJ428" s="382"/>
      <c r="AK428" s="364"/>
      <c r="AL428" s="382"/>
      <c r="AM428" s="352"/>
    </row>
    <row r="429" spans="1:39" s="351" customFormat="1">
      <c r="A429" s="373"/>
      <c r="B429" s="373"/>
      <c r="C429" s="364"/>
      <c r="D429" s="364"/>
      <c r="E429" s="364"/>
      <c r="F429" s="364"/>
      <c r="G429" s="364"/>
      <c r="H429" s="382"/>
      <c r="I429" s="364"/>
      <c r="J429" s="382"/>
      <c r="K429" s="364"/>
      <c r="L429" s="364"/>
      <c r="M429" s="364"/>
      <c r="N429" s="382"/>
      <c r="O429" s="364"/>
      <c r="P429" s="364"/>
      <c r="Q429" s="364"/>
      <c r="R429" s="382"/>
      <c r="S429" s="364"/>
      <c r="T429" s="382"/>
      <c r="U429" s="364"/>
      <c r="V429" s="382"/>
      <c r="W429" s="364"/>
      <c r="X429" s="382"/>
      <c r="Y429" s="364"/>
      <c r="Z429" s="382"/>
      <c r="AA429" s="364"/>
      <c r="AB429" s="364"/>
      <c r="AC429" s="364"/>
      <c r="AD429" s="382"/>
      <c r="AE429" s="364"/>
      <c r="AF429" s="382"/>
      <c r="AG429" s="364"/>
      <c r="AH429" s="382"/>
      <c r="AI429" s="364"/>
      <c r="AJ429" s="382"/>
      <c r="AK429" s="364"/>
      <c r="AL429" s="382"/>
      <c r="AM429" s="352"/>
    </row>
    <row r="430" spans="1:39" s="351" customFormat="1">
      <c r="A430" s="373"/>
      <c r="B430" s="373"/>
      <c r="C430" s="364"/>
      <c r="D430" s="364"/>
      <c r="E430" s="364"/>
      <c r="F430" s="364"/>
      <c r="G430" s="364"/>
      <c r="H430" s="382"/>
      <c r="I430" s="364"/>
      <c r="J430" s="382"/>
      <c r="K430" s="364"/>
      <c r="L430" s="364"/>
      <c r="M430" s="364"/>
      <c r="N430" s="382"/>
      <c r="O430" s="364"/>
      <c r="P430" s="364"/>
      <c r="Q430" s="364"/>
      <c r="R430" s="382"/>
      <c r="S430" s="364"/>
      <c r="T430" s="382"/>
      <c r="U430" s="364"/>
      <c r="V430" s="382"/>
      <c r="W430" s="364"/>
      <c r="X430" s="382"/>
      <c r="Y430" s="364"/>
      <c r="Z430" s="382"/>
      <c r="AA430" s="364"/>
      <c r="AB430" s="364"/>
      <c r="AC430" s="364"/>
      <c r="AD430" s="382"/>
      <c r="AE430" s="364"/>
      <c r="AF430" s="382"/>
      <c r="AG430" s="364"/>
      <c r="AH430" s="382"/>
      <c r="AI430" s="364"/>
      <c r="AJ430" s="382"/>
      <c r="AK430" s="364"/>
      <c r="AL430" s="382"/>
      <c r="AM430" s="352"/>
    </row>
    <row r="431" spans="1:39" s="351" customFormat="1">
      <c r="A431" s="373"/>
      <c r="B431" s="373"/>
      <c r="C431" s="364"/>
      <c r="D431" s="364"/>
      <c r="E431" s="364"/>
      <c r="F431" s="364"/>
      <c r="G431" s="364"/>
      <c r="H431" s="382"/>
      <c r="I431" s="364"/>
      <c r="J431" s="382"/>
      <c r="K431" s="364"/>
      <c r="L431" s="364"/>
      <c r="M431" s="364"/>
      <c r="N431" s="382"/>
      <c r="O431" s="364"/>
      <c r="P431" s="364"/>
      <c r="Q431" s="364"/>
      <c r="R431" s="382"/>
      <c r="S431" s="364"/>
      <c r="T431" s="382"/>
      <c r="U431" s="364"/>
      <c r="V431" s="382"/>
      <c r="W431" s="364"/>
      <c r="X431" s="382"/>
      <c r="Y431" s="364"/>
      <c r="Z431" s="382"/>
      <c r="AA431" s="364"/>
      <c r="AB431" s="364"/>
      <c r="AC431" s="364"/>
      <c r="AD431" s="382"/>
      <c r="AE431" s="364"/>
      <c r="AF431" s="382"/>
      <c r="AG431" s="364"/>
      <c r="AH431" s="382"/>
      <c r="AI431" s="364"/>
      <c r="AJ431" s="382"/>
      <c r="AK431" s="364"/>
      <c r="AL431" s="382"/>
      <c r="AM431" s="352"/>
    </row>
    <row r="432" spans="1:39" s="351" customFormat="1">
      <c r="A432" s="373"/>
      <c r="B432" s="373"/>
      <c r="C432" s="364"/>
      <c r="D432" s="364"/>
      <c r="E432" s="364"/>
      <c r="F432" s="364"/>
      <c r="G432" s="364"/>
      <c r="H432" s="382"/>
      <c r="I432" s="364"/>
      <c r="J432" s="382"/>
      <c r="K432" s="364"/>
      <c r="L432" s="364"/>
      <c r="M432" s="364"/>
      <c r="N432" s="382"/>
      <c r="O432" s="364"/>
      <c r="P432" s="364"/>
      <c r="Q432" s="364"/>
      <c r="R432" s="382"/>
      <c r="S432" s="364"/>
      <c r="T432" s="382"/>
      <c r="U432" s="364"/>
      <c r="V432" s="382"/>
      <c r="W432" s="364"/>
      <c r="X432" s="382"/>
      <c r="Y432" s="364"/>
      <c r="Z432" s="382"/>
      <c r="AA432" s="364"/>
      <c r="AB432" s="364"/>
      <c r="AC432" s="364"/>
      <c r="AD432" s="382"/>
      <c r="AE432" s="364"/>
      <c r="AF432" s="382"/>
      <c r="AG432" s="364"/>
      <c r="AH432" s="382"/>
      <c r="AI432" s="364"/>
      <c r="AJ432" s="382"/>
      <c r="AK432" s="364"/>
      <c r="AL432" s="382"/>
      <c r="AM432" s="352"/>
    </row>
    <row r="433" spans="1:39" s="351" customFormat="1">
      <c r="A433" s="373"/>
      <c r="B433" s="373"/>
      <c r="C433" s="364"/>
      <c r="D433" s="364"/>
      <c r="E433" s="364"/>
      <c r="F433" s="364"/>
      <c r="G433" s="364"/>
      <c r="H433" s="382"/>
      <c r="I433" s="364"/>
      <c r="J433" s="382"/>
      <c r="K433" s="364"/>
      <c r="L433" s="364"/>
      <c r="M433" s="364"/>
      <c r="N433" s="382"/>
      <c r="O433" s="364"/>
      <c r="P433" s="364"/>
      <c r="Q433" s="364"/>
      <c r="R433" s="382"/>
      <c r="S433" s="364"/>
      <c r="T433" s="382"/>
      <c r="U433" s="364"/>
      <c r="V433" s="382"/>
      <c r="W433" s="364"/>
      <c r="X433" s="382"/>
      <c r="Y433" s="364"/>
      <c r="Z433" s="382"/>
      <c r="AA433" s="364"/>
      <c r="AB433" s="364"/>
      <c r="AC433" s="364"/>
      <c r="AD433" s="382"/>
      <c r="AE433" s="364"/>
      <c r="AF433" s="382"/>
      <c r="AG433" s="364"/>
      <c r="AH433" s="382"/>
      <c r="AI433" s="364"/>
      <c r="AJ433" s="382"/>
      <c r="AK433" s="364"/>
      <c r="AL433" s="382"/>
      <c r="AM433" s="352"/>
    </row>
    <row r="434" spans="1:39" s="351" customFormat="1">
      <c r="A434" s="373"/>
      <c r="B434" s="373"/>
      <c r="C434" s="364"/>
      <c r="D434" s="364"/>
      <c r="E434" s="364"/>
      <c r="F434" s="364"/>
      <c r="G434" s="364"/>
      <c r="H434" s="382"/>
      <c r="I434" s="364"/>
      <c r="J434" s="382"/>
      <c r="K434" s="364"/>
      <c r="L434" s="364"/>
      <c r="M434" s="364"/>
      <c r="N434" s="382"/>
      <c r="O434" s="364"/>
      <c r="P434" s="364"/>
      <c r="Q434" s="364"/>
      <c r="R434" s="382"/>
      <c r="S434" s="364"/>
      <c r="T434" s="382"/>
      <c r="U434" s="364"/>
      <c r="V434" s="382"/>
      <c r="W434" s="364"/>
      <c r="X434" s="382"/>
      <c r="Y434" s="364"/>
      <c r="Z434" s="382"/>
      <c r="AA434" s="364"/>
      <c r="AB434" s="364"/>
      <c r="AC434" s="364"/>
      <c r="AD434" s="382"/>
      <c r="AE434" s="364"/>
      <c r="AF434" s="382"/>
      <c r="AG434" s="364"/>
      <c r="AH434" s="382"/>
      <c r="AI434" s="364"/>
      <c r="AJ434" s="382"/>
      <c r="AK434" s="364"/>
      <c r="AL434" s="382"/>
      <c r="AM434" s="352"/>
    </row>
    <row r="435" spans="1:39" s="351" customFormat="1">
      <c r="A435" s="373"/>
      <c r="B435" s="373"/>
      <c r="C435" s="364"/>
      <c r="D435" s="364"/>
      <c r="E435" s="364"/>
      <c r="F435" s="364"/>
      <c r="G435" s="364"/>
      <c r="H435" s="382"/>
      <c r="I435" s="364"/>
      <c r="J435" s="382"/>
      <c r="K435" s="364"/>
      <c r="L435" s="364"/>
      <c r="M435" s="364"/>
      <c r="N435" s="382"/>
      <c r="O435" s="364"/>
      <c r="P435" s="364"/>
      <c r="Q435" s="364"/>
      <c r="R435" s="382"/>
      <c r="S435" s="364"/>
      <c r="T435" s="382"/>
      <c r="U435" s="364"/>
      <c r="V435" s="382"/>
      <c r="W435" s="364"/>
      <c r="X435" s="382"/>
      <c r="Y435" s="364"/>
      <c r="Z435" s="382"/>
      <c r="AA435" s="364"/>
      <c r="AB435" s="364"/>
      <c r="AC435" s="364"/>
      <c r="AD435" s="382"/>
      <c r="AE435" s="364"/>
      <c r="AF435" s="382"/>
      <c r="AG435" s="364"/>
      <c r="AH435" s="382"/>
      <c r="AI435" s="364"/>
      <c r="AJ435" s="382"/>
      <c r="AK435" s="364"/>
      <c r="AL435" s="382"/>
      <c r="AM435" s="352"/>
    </row>
    <row r="436" spans="1:39" s="351" customFormat="1">
      <c r="A436" s="373"/>
      <c r="B436" s="373"/>
      <c r="C436" s="364"/>
      <c r="D436" s="364"/>
      <c r="E436" s="364"/>
      <c r="F436" s="364"/>
      <c r="G436" s="364"/>
      <c r="H436" s="382"/>
      <c r="I436" s="364"/>
      <c r="J436" s="382"/>
      <c r="K436" s="364"/>
      <c r="L436" s="364"/>
      <c r="M436" s="364"/>
      <c r="N436" s="382"/>
      <c r="O436" s="364"/>
      <c r="P436" s="364"/>
      <c r="Q436" s="364"/>
      <c r="R436" s="382"/>
      <c r="S436" s="364"/>
      <c r="T436" s="382"/>
      <c r="U436" s="364"/>
      <c r="V436" s="382"/>
      <c r="W436" s="364"/>
      <c r="X436" s="382"/>
      <c r="Y436" s="364"/>
      <c r="Z436" s="382"/>
      <c r="AA436" s="364"/>
      <c r="AB436" s="364"/>
      <c r="AC436" s="364"/>
      <c r="AD436" s="382"/>
      <c r="AE436" s="364"/>
      <c r="AF436" s="382"/>
      <c r="AG436" s="364"/>
      <c r="AH436" s="382"/>
      <c r="AI436" s="364"/>
      <c r="AJ436" s="382"/>
      <c r="AK436" s="364"/>
      <c r="AL436" s="382"/>
      <c r="AM436" s="352"/>
    </row>
    <row r="437" spans="1:39" s="351" customFormat="1">
      <c r="A437" s="373"/>
      <c r="B437" s="373"/>
      <c r="C437" s="364"/>
      <c r="D437" s="364"/>
      <c r="E437" s="364"/>
      <c r="F437" s="364"/>
      <c r="G437" s="364"/>
      <c r="H437" s="382"/>
      <c r="I437" s="364"/>
      <c r="J437" s="382"/>
      <c r="K437" s="364"/>
      <c r="L437" s="364"/>
      <c r="M437" s="364"/>
      <c r="N437" s="382"/>
      <c r="O437" s="364"/>
      <c r="P437" s="364"/>
      <c r="Q437" s="364"/>
      <c r="R437" s="382"/>
      <c r="S437" s="364"/>
      <c r="T437" s="382"/>
      <c r="U437" s="364"/>
      <c r="V437" s="382"/>
      <c r="W437" s="364"/>
      <c r="X437" s="382"/>
      <c r="Y437" s="364"/>
      <c r="Z437" s="382"/>
      <c r="AA437" s="364"/>
      <c r="AB437" s="364"/>
      <c r="AC437" s="364"/>
      <c r="AD437" s="382"/>
      <c r="AE437" s="364"/>
      <c r="AF437" s="382"/>
      <c r="AG437" s="364"/>
      <c r="AH437" s="382"/>
      <c r="AI437" s="364"/>
      <c r="AJ437" s="382"/>
      <c r="AK437" s="364"/>
      <c r="AL437" s="382"/>
      <c r="AM437" s="352"/>
    </row>
    <row r="438" spans="1:39" s="351" customFormat="1">
      <c r="A438" s="373"/>
      <c r="B438" s="373"/>
      <c r="C438" s="364"/>
      <c r="D438" s="364"/>
      <c r="E438" s="364"/>
      <c r="F438" s="364"/>
      <c r="G438" s="364"/>
      <c r="H438" s="382"/>
      <c r="I438" s="364"/>
      <c r="J438" s="382"/>
      <c r="K438" s="364"/>
      <c r="L438" s="364"/>
      <c r="M438" s="364"/>
      <c r="N438" s="382"/>
      <c r="O438" s="364"/>
      <c r="P438" s="364"/>
      <c r="Q438" s="364"/>
      <c r="R438" s="382"/>
      <c r="S438" s="364"/>
      <c r="T438" s="382"/>
      <c r="U438" s="364"/>
      <c r="V438" s="382"/>
      <c r="W438" s="364"/>
      <c r="X438" s="382"/>
      <c r="Y438" s="364"/>
      <c r="Z438" s="382"/>
      <c r="AA438" s="364"/>
      <c r="AB438" s="364"/>
      <c r="AC438" s="364"/>
      <c r="AD438" s="382"/>
      <c r="AE438" s="364"/>
      <c r="AF438" s="382"/>
      <c r="AG438" s="364"/>
      <c r="AH438" s="382"/>
      <c r="AI438" s="364"/>
      <c r="AJ438" s="382"/>
      <c r="AK438" s="364"/>
      <c r="AL438" s="382"/>
      <c r="AM438" s="352"/>
    </row>
    <row r="439" spans="1:39" s="351" customFormat="1">
      <c r="A439" s="373"/>
      <c r="B439" s="373"/>
      <c r="C439" s="364"/>
      <c r="D439" s="364"/>
      <c r="E439" s="364"/>
      <c r="F439" s="364"/>
      <c r="G439" s="364"/>
      <c r="H439" s="382"/>
      <c r="I439" s="364"/>
      <c r="J439" s="382"/>
      <c r="K439" s="364"/>
      <c r="L439" s="364"/>
      <c r="M439" s="364"/>
      <c r="N439" s="382"/>
      <c r="O439" s="364"/>
      <c r="P439" s="364"/>
      <c r="Q439" s="364"/>
      <c r="R439" s="382"/>
      <c r="S439" s="364"/>
      <c r="T439" s="382"/>
      <c r="U439" s="364"/>
      <c r="V439" s="382"/>
      <c r="W439" s="364"/>
      <c r="X439" s="382"/>
      <c r="Y439" s="364"/>
      <c r="Z439" s="382"/>
      <c r="AA439" s="364"/>
      <c r="AB439" s="364"/>
      <c r="AC439" s="364"/>
      <c r="AD439" s="382"/>
      <c r="AE439" s="364"/>
      <c r="AF439" s="382"/>
      <c r="AG439" s="364"/>
      <c r="AH439" s="382"/>
      <c r="AI439" s="364"/>
      <c r="AJ439" s="382"/>
      <c r="AK439" s="364"/>
      <c r="AL439" s="382"/>
      <c r="AM439" s="352"/>
    </row>
    <row r="440" spans="1:39" s="351" customFormat="1">
      <c r="A440" s="373"/>
      <c r="B440" s="373"/>
      <c r="C440" s="364"/>
      <c r="D440" s="364"/>
      <c r="E440" s="364"/>
      <c r="F440" s="364"/>
      <c r="G440" s="364"/>
      <c r="H440" s="382"/>
      <c r="I440" s="364"/>
      <c r="J440" s="382"/>
      <c r="K440" s="364"/>
      <c r="L440" s="364"/>
      <c r="M440" s="364"/>
      <c r="N440" s="382"/>
      <c r="O440" s="364"/>
      <c r="P440" s="364"/>
      <c r="Q440" s="364"/>
      <c r="R440" s="382"/>
      <c r="S440" s="364"/>
      <c r="T440" s="382"/>
      <c r="U440" s="364"/>
      <c r="V440" s="382"/>
      <c r="W440" s="364"/>
      <c r="X440" s="382"/>
      <c r="Y440" s="364"/>
      <c r="Z440" s="382"/>
      <c r="AA440" s="364"/>
      <c r="AB440" s="364"/>
      <c r="AC440" s="364"/>
      <c r="AD440" s="382"/>
      <c r="AE440" s="364"/>
      <c r="AF440" s="382"/>
      <c r="AG440" s="364"/>
      <c r="AH440" s="382"/>
      <c r="AI440" s="364"/>
      <c r="AJ440" s="382"/>
      <c r="AK440" s="364"/>
      <c r="AL440" s="382"/>
      <c r="AM440" s="352"/>
    </row>
    <row r="441" spans="1:39" s="351" customFormat="1">
      <c r="A441" s="373"/>
      <c r="B441" s="373"/>
      <c r="C441" s="364"/>
      <c r="D441" s="364"/>
      <c r="E441" s="364"/>
      <c r="F441" s="364"/>
      <c r="G441" s="364"/>
      <c r="H441" s="382"/>
      <c r="I441" s="364"/>
      <c r="J441" s="382"/>
      <c r="K441" s="364"/>
      <c r="L441" s="364"/>
      <c r="M441" s="364"/>
      <c r="N441" s="382"/>
      <c r="O441" s="364"/>
      <c r="P441" s="364"/>
      <c r="Q441" s="364"/>
      <c r="R441" s="382"/>
      <c r="S441" s="364"/>
      <c r="T441" s="382"/>
      <c r="U441" s="364"/>
      <c r="V441" s="382"/>
      <c r="W441" s="364"/>
      <c r="X441" s="382"/>
      <c r="Y441" s="364"/>
      <c r="Z441" s="382"/>
      <c r="AA441" s="364"/>
      <c r="AB441" s="364"/>
      <c r="AC441" s="364"/>
      <c r="AD441" s="382"/>
      <c r="AE441" s="364"/>
      <c r="AF441" s="382"/>
      <c r="AG441" s="364"/>
      <c r="AH441" s="382"/>
      <c r="AI441" s="364"/>
      <c r="AJ441" s="382"/>
      <c r="AK441" s="364"/>
      <c r="AL441" s="382"/>
      <c r="AM441" s="352"/>
    </row>
    <row r="442" spans="1:39" s="351" customFormat="1">
      <c r="C442" s="364"/>
      <c r="D442" s="364"/>
      <c r="E442" s="364"/>
      <c r="F442" s="364"/>
      <c r="G442" s="364"/>
      <c r="H442" s="382"/>
      <c r="I442" s="364"/>
      <c r="J442" s="382"/>
      <c r="K442" s="364"/>
      <c r="L442" s="364"/>
      <c r="M442" s="364"/>
      <c r="N442" s="382"/>
      <c r="O442" s="364"/>
      <c r="P442" s="364"/>
      <c r="Q442" s="364"/>
      <c r="R442" s="382"/>
      <c r="S442" s="364"/>
      <c r="T442" s="382"/>
      <c r="U442" s="364"/>
      <c r="V442" s="382"/>
      <c r="W442" s="364"/>
      <c r="X442" s="382"/>
      <c r="Y442" s="364"/>
      <c r="Z442" s="382"/>
      <c r="AA442" s="364"/>
      <c r="AB442" s="364"/>
      <c r="AC442" s="364"/>
      <c r="AD442" s="382"/>
      <c r="AE442" s="364"/>
      <c r="AF442" s="382"/>
      <c r="AG442" s="364"/>
      <c r="AH442" s="382"/>
      <c r="AI442" s="364"/>
      <c r="AJ442" s="382"/>
      <c r="AK442" s="364"/>
      <c r="AL442" s="382"/>
      <c r="AM442" s="352"/>
    </row>
    <row r="443" spans="1:39" s="351" customFormat="1">
      <c r="C443" s="364"/>
      <c r="D443" s="364"/>
      <c r="E443" s="364"/>
      <c r="F443" s="364"/>
      <c r="G443" s="364"/>
      <c r="H443" s="382"/>
      <c r="I443" s="364"/>
      <c r="J443" s="382"/>
      <c r="K443" s="364"/>
      <c r="L443" s="364"/>
      <c r="M443" s="364"/>
      <c r="N443" s="382"/>
      <c r="O443" s="364"/>
      <c r="P443" s="364"/>
      <c r="Q443" s="364"/>
      <c r="R443" s="382"/>
      <c r="S443" s="364"/>
      <c r="T443" s="382"/>
      <c r="U443" s="364"/>
      <c r="V443" s="382"/>
      <c r="W443" s="364"/>
      <c r="X443" s="382"/>
      <c r="Y443" s="364"/>
      <c r="Z443" s="382"/>
      <c r="AA443" s="364"/>
      <c r="AB443" s="364"/>
      <c r="AC443" s="364"/>
      <c r="AD443" s="382"/>
      <c r="AE443" s="364"/>
      <c r="AF443" s="382"/>
      <c r="AG443" s="364"/>
      <c r="AH443" s="382"/>
      <c r="AI443" s="364"/>
      <c r="AJ443" s="382"/>
      <c r="AK443" s="364"/>
      <c r="AL443" s="382"/>
      <c r="AM443" s="352"/>
    </row>
    <row r="444" spans="1:39" s="351" customFormat="1">
      <c r="C444" s="364"/>
      <c r="D444" s="364"/>
      <c r="E444" s="364"/>
      <c r="F444" s="364"/>
      <c r="G444" s="364"/>
      <c r="H444" s="382"/>
      <c r="I444" s="364"/>
      <c r="J444" s="382"/>
      <c r="K444" s="364"/>
      <c r="L444" s="364"/>
      <c r="M444" s="364"/>
      <c r="N444" s="382"/>
      <c r="O444" s="364"/>
      <c r="P444" s="364"/>
      <c r="Q444" s="364"/>
      <c r="R444" s="382"/>
      <c r="S444" s="364"/>
      <c r="T444" s="382"/>
      <c r="U444" s="364"/>
      <c r="V444" s="382"/>
      <c r="W444" s="364"/>
      <c r="X444" s="382"/>
      <c r="Y444" s="364"/>
      <c r="Z444" s="382"/>
      <c r="AA444" s="364"/>
      <c r="AB444" s="364"/>
      <c r="AC444" s="364"/>
      <c r="AD444" s="382"/>
      <c r="AE444" s="364"/>
      <c r="AF444" s="382"/>
      <c r="AG444" s="364"/>
      <c r="AH444" s="382"/>
      <c r="AI444" s="364"/>
      <c r="AJ444" s="382"/>
      <c r="AK444" s="364"/>
      <c r="AL444" s="382"/>
      <c r="AM444" s="352"/>
    </row>
    <row r="445" spans="1:39" s="351" customFormat="1">
      <c r="C445" s="364"/>
      <c r="D445" s="364"/>
      <c r="E445" s="364"/>
      <c r="F445" s="364"/>
      <c r="G445" s="364"/>
      <c r="H445" s="382"/>
      <c r="I445" s="364"/>
      <c r="J445" s="382"/>
      <c r="K445" s="364"/>
      <c r="L445" s="364"/>
      <c r="M445" s="364"/>
      <c r="N445" s="382"/>
      <c r="O445" s="364"/>
      <c r="P445" s="364"/>
      <c r="Q445" s="364"/>
      <c r="R445" s="382"/>
      <c r="S445" s="364"/>
      <c r="T445" s="382"/>
      <c r="U445" s="364"/>
      <c r="V445" s="382"/>
      <c r="W445" s="364"/>
      <c r="X445" s="382"/>
      <c r="Y445" s="364"/>
      <c r="Z445" s="382"/>
      <c r="AA445" s="364"/>
      <c r="AB445" s="364"/>
      <c r="AC445" s="364"/>
      <c r="AD445" s="382"/>
      <c r="AE445" s="364"/>
      <c r="AF445" s="382"/>
      <c r="AG445" s="364"/>
      <c r="AH445" s="382"/>
      <c r="AI445" s="364"/>
      <c r="AJ445" s="382"/>
      <c r="AK445" s="364"/>
      <c r="AL445" s="382"/>
      <c r="AM445" s="352"/>
    </row>
    <row r="446" spans="1:39" s="351" customFormat="1">
      <c r="C446" s="364"/>
      <c r="D446" s="364"/>
      <c r="E446" s="364"/>
      <c r="F446" s="364"/>
      <c r="G446" s="364"/>
      <c r="H446" s="382"/>
      <c r="I446" s="364"/>
      <c r="J446" s="382"/>
      <c r="K446" s="364"/>
      <c r="L446" s="364"/>
      <c r="M446" s="364"/>
      <c r="N446" s="382"/>
      <c r="O446" s="364"/>
      <c r="P446" s="364"/>
      <c r="Q446" s="364"/>
      <c r="R446" s="382"/>
      <c r="S446" s="364"/>
      <c r="T446" s="382"/>
      <c r="U446" s="364"/>
      <c r="V446" s="382"/>
      <c r="W446" s="364"/>
      <c r="X446" s="382"/>
      <c r="Y446" s="364"/>
      <c r="Z446" s="382"/>
      <c r="AA446" s="364"/>
      <c r="AB446" s="364"/>
      <c r="AC446" s="364"/>
      <c r="AD446" s="382"/>
      <c r="AE446" s="364"/>
      <c r="AF446" s="382"/>
      <c r="AG446" s="364"/>
      <c r="AH446" s="382"/>
      <c r="AI446" s="364"/>
      <c r="AJ446" s="382"/>
      <c r="AK446" s="364"/>
      <c r="AL446" s="382"/>
      <c r="AM446" s="352"/>
    </row>
    <row r="447" spans="1:39" s="351" customFormat="1">
      <c r="C447" s="364"/>
      <c r="D447" s="364"/>
      <c r="E447" s="364"/>
      <c r="F447" s="364"/>
      <c r="G447" s="364"/>
      <c r="H447" s="382"/>
      <c r="I447" s="364"/>
      <c r="J447" s="382"/>
      <c r="K447" s="364"/>
      <c r="L447" s="364"/>
      <c r="M447" s="364"/>
      <c r="N447" s="382"/>
      <c r="O447" s="364"/>
      <c r="P447" s="364"/>
      <c r="Q447" s="364"/>
      <c r="R447" s="382"/>
      <c r="S447" s="364"/>
      <c r="T447" s="382"/>
      <c r="U447" s="364"/>
      <c r="V447" s="382"/>
      <c r="W447" s="364"/>
      <c r="X447" s="382"/>
      <c r="Y447" s="364"/>
      <c r="Z447" s="382"/>
      <c r="AA447" s="364"/>
      <c r="AB447" s="364"/>
      <c r="AC447" s="364"/>
      <c r="AD447" s="382"/>
      <c r="AE447" s="364"/>
      <c r="AF447" s="382"/>
      <c r="AG447" s="364"/>
      <c r="AH447" s="382"/>
      <c r="AI447" s="364"/>
      <c r="AJ447" s="382"/>
      <c r="AK447" s="364"/>
      <c r="AL447" s="382"/>
      <c r="AM447" s="352"/>
    </row>
    <row r="448" spans="1:39" s="351" customFormat="1">
      <c r="C448" s="364"/>
      <c r="D448" s="364"/>
      <c r="E448" s="364"/>
      <c r="F448" s="364"/>
      <c r="G448" s="364"/>
      <c r="H448" s="382"/>
      <c r="I448" s="364"/>
      <c r="J448" s="382"/>
      <c r="K448" s="364"/>
      <c r="L448" s="364"/>
      <c r="M448" s="364"/>
      <c r="N448" s="382"/>
      <c r="O448" s="364"/>
      <c r="P448" s="364"/>
      <c r="Q448" s="364"/>
      <c r="R448" s="382"/>
      <c r="S448" s="364"/>
      <c r="T448" s="382"/>
      <c r="U448" s="364"/>
      <c r="V448" s="382"/>
      <c r="W448" s="364"/>
      <c r="X448" s="382"/>
      <c r="Y448" s="364"/>
      <c r="Z448" s="382"/>
      <c r="AA448" s="364"/>
      <c r="AB448" s="364"/>
      <c r="AC448" s="364"/>
      <c r="AD448" s="382"/>
      <c r="AE448" s="364"/>
      <c r="AF448" s="382"/>
      <c r="AG448" s="364"/>
      <c r="AH448" s="382"/>
      <c r="AI448" s="364"/>
      <c r="AJ448" s="382"/>
      <c r="AK448" s="364"/>
      <c r="AL448" s="382"/>
      <c r="AM448" s="352"/>
    </row>
    <row r="449" spans="3:39" s="351" customFormat="1">
      <c r="C449" s="364"/>
      <c r="D449" s="364"/>
      <c r="E449" s="364"/>
      <c r="F449" s="364"/>
      <c r="G449" s="364"/>
      <c r="H449" s="382"/>
      <c r="I449" s="364"/>
      <c r="J449" s="382"/>
      <c r="K449" s="364"/>
      <c r="L449" s="364"/>
      <c r="M449" s="364"/>
      <c r="N449" s="382"/>
      <c r="O449" s="364"/>
      <c r="P449" s="364"/>
      <c r="Q449" s="364"/>
      <c r="R449" s="382"/>
      <c r="S449" s="364"/>
      <c r="T449" s="382"/>
      <c r="U449" s="364"/>
      <c r="V449" s="382"/>
      <c r="W449" s="364"/>
      <c r="X449" s="382"/>
      <c r="Y449" s="364"/>
      <c r="Z449" s="382"/>
      <c r="AA449" s="364"/>
      <c r="AB449" s="364"/>
      <c r="AC449" s="364"/>
      <c r="AD449" s="382"/>
      <c r="AE449" s="364"/>
      <c r="AF449" s="382"/>
      <c r="AG449" s="364"/>
      <c r="AH449" s="382"/>
      <c r="AI449" s="364"/>
      <c r="AJ449" s="382"/>
      <c r="AK449" s="364"/>
      <c r="AL449" s="382"/>
      <c r="AM449" s="352"/>
    </row>
    <row r="450" spans="3:39" s="351" customFormat="1">
      <c r="C450" s="364"/>
      <c r="D450" s="364"/>
      <c r="E450" s="364"/>
      <c r="F450" s="364"/>
      <c r="G450" s="364"/>
      <c r="H450" s="382"/>
      <c r="I450" s="364"/>
      <c r="J450" s="382"/>
      <c r="K450" s="364"/>
      <c r="L450" s="364"/>
      <c r="M450" s="364"/>
      <c r="N450" s="382"/>
      <c r="O450" s="364"/>
      <c r="P450" s="364"/>
      <c r="Q450" s="364"/>
      <c r="R450" s="382"/>
      <c r="S450" s="364"/>
      <c r="T450" s="382"/>
      <c r="U450" s="364"/>
      <c r="V450" s="382"/>
      <c r="W450" s="364"/>
      <c r="X450" s="382"/>
      <c r="Y450" s="364"/>
      <c r="Z450" s="382"/>
      <c r="AA450" s="364"/>
      <c r="AB450" s="364"/>
      <c r="AC450" s="364"/>
      <c r="AD450" s="382"/>
      <c r="AE450" s="364"/>
      <c r="AF450" s="382"/>
      <c r="AG450" s="364"/>
      <c r="AH450" s="382"/>
      <c r="AI450" s="364"/>
      <c r="AJ450" s="382"/>
      <c r="AK450" s="364"/>
      <c r="AL450" s="382"/>
      <c r="AM450" s="352"/>
    </row>
    <row r="451" spans="3:39" s="351" customFormat="1">
      <c r="C451" s="364"/>
      <c r="D451" s="364"/>
      <c r="E451" s="364"/>
      <c r="F451" s="364"/>
      <c r="G451" s="364"/>
      <c r="H451" s="382"/>
      <c r="I451" s="364"/>
      <c r="J451" s="382"/>
      <c r="K451" s="364"/>
      <c r="L451" s="364"/>
      <c r="M451" s="364"/>
      <c r="N451" s="382"/>
      <c r="O451" s="364"/>
      <c r="P451" s="364"/>
      <c r="Q451" s="364"/>
      <c r="R451" s="382"/>
      <c r="S451" s="364"/>
      <c r="T451" s="382"/>
      <c r="U451" s="364"/>
      <c r="V451" s="382"/>
      <c r="W451" s="364"/>
      <c r="X451" s="382"/>
      <c r="Y451" s="364"/>
      <c r="Z451" s="382"/>
      <c r="AA451" s="364"/>
      <c r="AB451" s="364"/>
      <c r="AC451" s="364"/>
      <c r="AD451" s="382"/>
      <c r="AE451" s="364"/>
      <c r="AF451" s="382"/>
      <c r="AG451" s="364"/>
      <c r="AH451" s="382"/>
      <c r="AI451" s="364"/>
      <c r="AJ451" s="382"/>
      <c r="AK451" s="364"/>
      <c r="AL451" s="382"/>
      <c r="AM451" s="352"/>
    </row>
    <row r="452" spans="3:39" s="351" customFormat="1">
      <c r="C452" s="364"/>
      <c r="D452" s="364"/>
      <c r="E452" s="364"/>
      <c r="F452" s="364"/>
      <c r="G452" s="364"/>
      <c r="H452" s="382"/>
      <c r="I452" s="364"/>
      <c r="J452" s="382"/>
      <c r="K452" s="364"/>
      <c r="L452" s="364"/>
      <c r="M452" s="364"/>
      <c r="N452" s="382"/>
      <c r="O452" s="364"/>
      <c r="P452" s="364"/>
      <c r="Q452" s="364"/>
      <c r="R452" s="382"/>
      <c r="S452" s="364"/>
      <c r="T452" s="382"/>
      <c r="U452" s="364"/>
      <c r="V452" s="382"/>
      <c r="W452" s="364"/>
      <c r="X452" s="382"/>
      <c r="Y452" s="364"/>
      <c r="Z452" s="382"/>
      <c r="AA452" s="364"/>
      <c r="AB452" s="364"/>
      <c r="AC452" s="364"/>
      <c r="AD452" s="382"/>
      <c r="AE452" s="364"/>
      <c r="AF452" s="382"/>
      <c r="AG452" s="364"/>
      <c r="AH452" s="382"/>
      <c r="AI452" s="364"/>
      <c r="AJ452" s="382"/>
      <c r="AK452" s="364"/>
      <c r="AL452" s="382"/>
      <c r="AM452" s="352"/>
    </row>
    <row r="453" spans="3:39" s="351" customFormat="1">
      <c r="C453" s="364"/>
      <c r="D453" s="364"/>
      <c r="E453" s="364"/>
      <c r="F453" s="364"/>
      <c r="G453" s="364"/>
      <c r="H453" s="382"/>
      <c r="I453" s="364"/>
      <c r="J453" s="382"/>
      <c r="K453" s="364"/>
      <c r="L453" s="364"/>
      <c r="M453" s="364"/>
      <c r="N453" s="382"/>
      <c r="O453" s="364"/>
      <c r="P453" s="364"/>
      <c r="Q453" s="364"/>
      <c r="R453" s="382"/>
      <c r="S453" s="364"/>
      <c r="T453" s="382"/>
      <c r="U453" s="364"/>
      <c r="V453" s="382"/>
      <c r="W453" s="364"/>
      <c r="X453" s="382"/>
      <c r="Y453" s="364"/>
      <c r="Z453" s="382"/>
      <c r="AA453" s="364"/>
      <c r="AB453" s="364"/>
      <c r="AC453" s="364"/>
      <c r="AD453" s="382"/>
      <c r="AE453" s="364"/>
      <c r="AF453" s="382"/>
      <c r="AG453" s="364"/>
      <c r="AH453" s="382"/>
      <c r="AI453" s="364"/>
      <c r="AJ453" s="382"/>
      <c r="AK453" s="364"/>
      <c r="AL453" s="382"/>
      <c r="AM453" s="352"/>
    </row>
    <row r="454" spans="3:39" s="351" customFormat="1">
      <c r="C454" s="364"/>
      <c r="D454" s="364"/>
      <c r="E454" s="364"/>
      <c r="F454" s="364"/>
      <c r="G454" s="364"/>
      <c r="H454" s="382"/>
      <c r="I454" s="364"/>
      <c r="J454" s="382"/>
      <c r="K454" s="364"/>
      <c r="L454" s="364"/>
      <c r="M454" s="364"/>
      <c r="N454" s="382"/>
      <c r="O454" s="364"/>
      <c r="P454" s="364"/>
      <c r="Q454" s="364"/>
      <c r="R454" s="382"/>
      <c r="S454" s="364"/>
      <c r="T454" s="382"/>
      <c r="U454" s="364"/>
      <c r="V454" s="382"/>
      <c r="W454" s="364"/>
      <c r="X454" s="382"/>
      <c r="Y454" s="364"/>
      <c r="Z454" s="382"/>
      <c r="AA454" s="364"/>
      <c r="AB454" s="364"/>
      <c r="AC454" s="364"/>
      <c r="AD454" s="382"/>
      <c r="AE454" s="364"/>
      <c r="AF454" s="382"/>
      <c r="AG454" s="364"/>
      <c r="AH454" s="382"/>
      <c r="AI454" s="364"/>
      <c r="AJ454" s="382"/>
      <c r="AK454" s="364"/>
      <c r="AL454" s="382"/>
      <c r="AM454" s="352"/>
    </row>
    <row r="455" spans="3:39" s="351" customFormat="1">
      <c r="C455" s="364"/>
      <c r="D455" s="364"/>
      <c r="E455" s="364"/>
      <c r="F455" s="364"/>
      <c r="G455" s="364"/>
      <c r="H455" s="382"/>
      <c r="I455" s="364"/>
      <c r="J455" s="382"/>
      <c r="K455" s="364"/>
      <c r="L455" s="364"/>
      <c r="M455" s="364"/>
      <c r="N455" s="382"/>
      <c r="O455" s="364"/>
      <c r="P455" s="364"/>
      <c r="Q455" s="364"/>
      <c r="R455" s="382"/>
      <c r="S455" s="364"/>
      <c r="T455" s="382"/>
      <c r="U455" s="364"/>
      <c r="V455" s="382"/>
      <c r="W455" s="364"/>
      <c r="X455" s="382"/>
      <c r="Y455" s="364"/>
      <c r="Z455" s="382"/>
      <c r="AA455" s="364"/>
      <c r="AB455" s="364"/>
      <c r="AC455" s="364"/>
      <c r="AD455" s="382"/>
      <c r="AE455" s="364"/>
      <c r="AF455" s="382"/>
      <c r="AG455" s="364"/>
      <c r="AH455" s="382"/>
      <c r="AI455" s="364"/>
      <c r="AJ455" s="382"/>
      <c r="AK455" s="364"/>
      <c r="AL455" s="382"/>
      <c r="AM455" s="352"/>
    </row>
    <row r="456" spans="3:39" s="351" customFormat="1">
      <c r="C456" s="364"/>
      <c r="D456" s="364"/>
      <c r="E456" s="364"/>
      <c r="F456" s="364"/>
      <c r="G456" s="364"/>
      <c r="H456" s="382"/>
      <c r="I456" s="364"/>
      <c r="J456" s="382"/>
      <c r="K456" s="364"/>
      <c r="L456" s="364"/>
      <c r="M456" s="364"/>
      <c r="N456" s="382"/>
      <c r="O456" s="364"/>
      <c r="P456" s="364"/>
      <c r="Q456" s="364"/>
      <c r="R456" s="382"/>
      <c r="S456" s="364"/>
      <c r="T456" s="382"/>
      <c r="U456" s="364"/>
      <c r="V456" s="382"/>
      <c r="W456" s="364"/>
      <c r="X456" s="382"/>
      <c r="Y456" s="364"/>
      <c r="Z456" s="382"/>
      <c r="AA456" s="364"/>
      <c r="AB456" s="364"/>
      <c r="AC456" s="364"/>
      <c r="AD456" s="382"/>
      <c r="AE456" s="364"/>
      <c r="AF456" s="382"/>
      <c r="AG456" s="364"/>
      <c r="AH456" s="382"/>
      <c r="AI456" s="364"/>
      <c r="AJ456" s="382"/>
      <c r="AK456" s="364"/>
      <c r="AL456" s="382"/>
      <c r="AM456" s="352"/>
    </row>
    <row r="457" spans="3:39" s="351" customFormat="1">
      <c r="C457" s="364"/>
      <c r="D457" s="364"/>
      <c r="E457" s="364"/>
      <c r="F457" s="364"/>
      <c r="G457" s="364"/>
      <c r="H457" s="382"/>
      <c r="I457" s="364"/>
      <c r="J457" s="382"/>
      <c r="K457" s="364"/>
      <c r="L457" s="364"/>
      <c r="M457" s="364"/>
      <c r="N457" s="382"/>
      <c r="O457" s="364"/>
      <c r="P457" s="364"/>
      <c r="Q457" s="364"/>
      <c r="R457" s="382"/>
      <c r="S457" s="364"/>
      <c r="T457" s="382"/>
      <c r="U457" s="364"/>
      <c r="V457" s="382"/>
      <c r="W457" s="364"/>
      <c r="X457" s="382"/>
      <c r="Y457" s="364"/>
      <c r="Z457" s="382"/>
      <c r="AA457" s="364"/>
      <c r="AB457" s="364"/>
      <c r="AC457" s="364"/>
      <c r="AD457" s="382"/>
      <c r="AE457" s="364"/>
      <c r="AF457" s="382"/>
      <c r="AG457" s="364"/>
      <c r="AH457" s="382"/>
      <c r="AI457" s="364"/>
      <c r="AJ457" s="382"/>
      <c r="AK457" s="364"/>
      <c r="AL457" s="382"/>
      <c r="AM457" s="352"/>
    </row>
    <row r="458" spans="3:39" s="351" customFormat="1">
      <c r="C458" s="364"/>
      <c r="D458" s="364"/>
      <c r="E458" s="364"/>
      <c r="F458" s="364"/>
      <c r="G458" s="364"/>
      <c r="H458" s="382"/>
      <c r="I458" s="364"/>
      <c r="J458" s="382"/>
      <c r="K458" s="364"/>
      <c r="L458" s="364"/>
      <c r="M458" s="364"/>
      <c r="N458" s="382"/>
      <c r="O458" s="364"/>
      <c r="P458" s="364"/>
      <c r="Q458" s="364"/>
      <c r="R458" s="382"/>
      <c r="S458" s="364"/>
      <c r="T458" s="382"/>
      <c r="U458" s="364"/>
      <c r="V458" s="382"/>
      <c r="W458" s="364"/>
      <c r="X458" s="382"/>
      <c r="Y458" s="364"/>
      <c r="Z458" s="382"/>
      <c r="AA458" s="364"/>
      <c r="AB458" s="364"/>
      <c r="AC458" s="364"/>
      <c r="AD458" s="382"/>
      <c r="AE458" s="364"/>
      <c r="AF458" s="382"/>
      <c r="AG458" s="364"/>
      <c r="AH458" s="382"/>
      <c r="AI458" s="364"/>
      <c r="AJ458" s="382"/>
      <c r="AK458" s="364"/>
      <c r="AL458" s="382"/>
      <c r="AM458" s="352"/>
    </row>
    <row r="459" spans="3:39" s="351" customFormat="1">
      <c r="C459" s="364"/>
      <c r="D459" s="364"/>
      <c r="E459" s="364"/>
      <c r="F459" s="364"/>
      <c r="G459" s="364"/>
      <c r="H459" s="382"/>
      <c r="I459" s="364"/>
      <c r="J459" s="382"/>
      <c r="K459" s="364"/>
      <c r="L459" s="364"/>
      <c r="M459" s="364"/>
      <c r="N459" s="382"/>
      <c r="O459" s="364"/>
      <c r="P459" s="364"/>
      <c r="Q459" s="364"/>
      <c r="R459" s="382"/>
      <c r="S459" s="364"/>
      <c r="T459" s="382"/>
      <c r="U459" s="364"/>
      <c r="V459" s="382"/>
      <c r="W459" s="364"/>
      <c r="X459" s="382"/>
      <c r="Y459" s="364"/>
      <c r="Z459" s="382"/>
      <c r="AA459" s="364"/>
      <c r="AB459" s="364"/>
      <c r="AC459" s="364"/>
      <c r="AD459" s="382"/>
      <c r="AE459" s="364"/>
      <c r="AF459" s="382"/>
      <c r="AG459" s="364"/>
      <c r="AH459" s="382"/>
      <c r="AI459" s="364"/>
      <c r="AJ459" s="382"/>
      <c r="AK459" s="364"/>
      <c r="AL459" s="382"/>
      <c r="AM459" s="352"/>
    </row>
    <row r="460" spans="3:39" s="351" customFormat="1">
      <c r="C460" s="364"/>
      <c r="D460" s="364"/>
      <c r="E460" s="364"/>
      <c r="F460" s="364"/>
      <c r="G460" s="364"/>
      <c r="H460" s="382"/>
      <c r="I460" s="364"/>
      <c r="J460" s="382"/>
      <c r="K460" s="364"/>
      <c r="L460" s="364"/>
      <c r="M460" s="364"/>
      <c r="N460" s="382"/>
      <c r="O460" s="364"/>
      <c r="P460" s="364"/>
      <c r="Q460" s="364"/>
      <c r="R460" s="382"/>
      <c r="S460" s="364"/>
      <c r="T460" s="382"/>
      <c r="U460" s="364"/>
      <c r="V460" s="382"/>
      <c r="W460" s="364"/>
      <c r="X460" s="382"/>
      <c r="Y460" s="364"/>
      <c r="Z460" s="382"/>
      <c r="AA460" s="364"/>
      <c r="AB460" s="364"/>
      <c r="AC460" s="364"/>
      <c r="AD460" s="382"/>
      <c r="AE460" s="364"/>
      <c r="AF460" s="382"/>
      <c r="AG460" s="364"/>
      <c r="AH460" s="382"/>
      <c r="AI460" s="364"/>
      <c r="AJ460" s="382"/>
      <c r="AK460" s="364"/>
      <c r="AL460" s="382"/>
      <c r="AM460" s="352"/>
    </row>
    <row r="461" spans="3:39" s="351" customFormat="1">
      <c r="C461" s="364"/>
      <c r="D461" s="364"/>
      <c r="E461" s="364"/>
      <c r="F461" s="364"/>
      <c r="G461" s="364"/>
      <c r="H461" s="382"/>
      <c r="I461" s="364"/>
      <c r="J461" s="382"/>
      <c r="K461" s="364"/>
      <c r="L461" s="364"/>
      <c r="M461" s="364"/>
      <c r="N461" s="382"/>
      <c r="O461" s="364"/>
      <c r="P461" s="364"/>
      <c r="Q461" s="364"/>
      <c r="R461" s="382"/>
      <c r="S461" s="364"/>
      <c r="T461" s="382"/>
      <c r="U461" s="364"/>
      <c r="V461" s="382"/>
      <c r="W461" s="364"/>
      <c r="X461" s="382"/>
      <c r="Y461" s="364"/>
      <c r="Z461" s="382"/>
      <c r="AA461" s="364"/>
      <c r="AB461" s="364"/>
      <c r="AC461" s="364"/>
      <c r="AD461" s="382"/>
      <c r="AE461" s="364"/>
      <c r="AF461" s="382"/>
      <c r="AG461" s="364"/>
      <c r="AH461" s="382"/>
      <c r="AI461" s="364"/>
      <c r="AJ461" s="382"/>
      <c r="AK461" s="364"/>
      <c r="AL461" s="382"/>
      <c r="AM461" s="352"/>
    </row>
    <row r="462" spans="3:39" s="351" customFormat="1">
      <c r="C462" s="364"/>
      <c r="D462" s="364"/>
      <c r="E462" s="364"/>
      <c r="F462" s="364"/>
      <c r="G462" s="364"/>
      <c r="H462" s="382"/>
      <c r="I462" s="364"/>
      <c r="J462" s="382"/>
      <c r="K462" s="364"/>
      <c r="L462" s="364"/>
      <c r="M462" s="364"/>
      <c r="N462" s="382"/>
      <c r="O462" s="364"/>
      <c r="P462" s="364"/>
      <c r="Q462" s="364"/>
      <c r="R462" s="382"/>
      <c r="S462" s="364"/>
      <c r="T462" s="382"/>
      <c r="U462" s="364"/>
      <c r="V462" s="382"/>
      <c r="W462" s="364"/>
      <c r="X462" s="382"/>
      <c r="Y462" s="364"/>
      <c r="Z462" s="382"/>
      <c r="AA462" s="364"/>
      <c r="AB462" s="364"/>
      <c r="AC462" s="364"/>
      <c r="AD462" s="382"/>
      <c r="AE462" s="364"/>
      <c r="AF462" s="382"/>
      <c r="AG462" s="364"/>
      <c r="AH462" s="382"/>
      <c r="AI462" s="364"/>
      <c r="AJ462" s="382"/>
      <c r="AK462" s="364"/>
      <c r="AL462" s="382"/>
      <c r="AM462" s="352"/>
    </row>
    <row r="463" spans="3:39" s="351" customFormat="1">
      <c r="C463" s="364"/>
      <c r="D463" s="364"/>
      <c r="E463" s="364"/>
      <c r="F463" s="364"/>
      <c r="G463" s="364"/>
      <c r="H463" s="382"/>
      <c r="I463" s="364"/>
      <c r="J463" s="382"/>
      <c r="K463" s="364"/>
      <c r="L463" s="364"/>
      <c r="M463" s="364"/>
      <c r="N463" s="382"/>
      <c r="O463" s="364"/>
      <c r="P463" s="364"/>
      <c r="Q463" s="364"/>
      <c r="R463" s="382"/>
      <c r="S463" s="364"/>
      <c r="T463" s="382"/>
      <c r="U463" s="364"/>
      <c r="V463" s="382"/>
      <c r="W463" s="364"/>
      <c r="X463" s="382"/>
      <c r="Y463" s="364"/>
      <c r="Z463" s="382"/>
      <c r="AA463" s="364"/>
      <c r="AB463" s="364"/>
      <c r="AC463" s="364"/>
      <c r="AD463" s="382"/>
      <c r="AE463" s="364"/>
      <c r="AF463" s="382"/>
      <c r="AG463" s="364"/>
      <c r="AH463" s="382"/>
      <c r="AI463" s="364"/>
      <c r="AJ463" s="382"/>
      <c r="AK463" s="364"/>
      <c r="AL463" s="382"/>
      <c r="AM463" s="352"/>
    </row>
    <row r="464" spans="3:39" s="351" customFormat="1">
      <c r="C464" s="364"/>
      <c r="D464" s="364"/>
      <c r="E464" s="364"/>
      <c r="F464" s="364"/>
      <c r="G464" s="364"/>
      <c r="H464" s="382"/>
      <c r="I464" s="364"/>
      <c r="J464" s="382"/>
      <c r="K464" s="364"/>
      <c r="L464" s="364"/>
      <c r="M464" s="364"/>
      <c r="N464" s="382"/>
      <c r="O464" s="364"/>
      <c r="P464" s="364"/>
      <c r="Q464" s="364"/>
      <c r="R464" s="382"/>
      <c r="S464" s="364"/>
      <c r="T464" s="382"/>
      <c r="U464" s="364"/>
      <c r="V464" s="382"/>
      <c r="W464" s="364"/>
      <c r="X464" s="382"/>
      <c r="Y464" s="364"/>
      <c r="Z464" s="382"/>
      <c r="AA464" s="364"/>
      <c r="AB464" s="364"/>
      <c r="AC464" s="364"/>
      <c r="AD464" s="382"/>
      <c r="AE464" s="364"/>
      <c r="AF464" s="382"/>
      <c r="AG464" s="364"/>
      <c r="AH464" s="382"/>
      <c r="AI464" s="364"/>
      <c r="AJ464" s="382"/>
      <c r="AK464" s="364"/>
      <c r="AL464" s="382"/>
      <c r="AM464" s="352"/>
    </row>
    <row r="465" spans="3:39" s="351" customFormat="1">
      <c r="C465" s="364"/>
      <c r="D465" s="364"/>
      <c r="E465" s="364"/>
      <c r="F465" s="364"/>
      <c r="G465" s="364"/>
      <c r="H465" s="382"/>
      <c r="I465" s="364"/>
      <c r="J465" s="382"/>
      <c r="K465" s="364"/>
      <c r="L465" s="364"/>
      <c r="M465" s="364"/>
      <c r="N465" s="382"/>
      <c r="O465" s="364"/>
      <c r="P465" s="364"/>
      <c r="Q465" s="364"/>
      <c r="R465" s="382"/>
      <c r="S465" s="364"/>
      <c r="T465" s="382"/>
      <c r="U465" s="364"/>
      <c r="V465" s="382"/>
      <c r="W465" s="364"/>
      <c r="X465" s="382"/>
      <c r="Y465" s="364"/>
      <c r="Z465" s="382"/>
      <c r="AA465" s="364"/>
      <c r="AB465" s="364"/>
      <c r="AC465" s="364"/>
      <c r="AD465" s="382"/>
      <c r="AE465" s="364"/>
      <c r="AF465" s="382"/>
      <c r="AG465" s="364"/>
      <c r="AH465" s="382"/>
      <c r="AI465" s="364"/>
      <c r="AJ465" s="382"/>
      <c r="AK465" s="364"/>
      <c r="AL465" s="382"/>
      <c r="AM465" s="352"/>
    </row>
    <row r="466" spans="3:39" s="351" customFormat="1">
      <c r="C466" s="364"/>
      <c r="D466" s="364"/>
      <c r="E466" s="364"/>
      <c r="F466" s="364"/>
      <c r="G466" s="364"/>
      <c r="H466" s="382"/>
      <c r="I466" s="364"/>
      <c r="J466" s="382"/>
      <c r="K466" s="364"/>
      <c r="L466" s="364"/>
      <c r="M466" s="364"/>
      <c r="N466" s="382"/>
      <c r="O466" s="364"/>
      <c r="P466" s="364"/>
      <c r="Q466" s="364"/>
      <c r="R466" s="382"/>
      <c r="S466" s="364"/>
      <c r="T466" s="382"/>
      <c r="U466" s="364"/>
      <c r="V466" s="382"/>
      <c r="W466" s="364"/>
      <c r="X466" s="382"/>
      <c r="Y466" s="364"/>
      <c r="Z466" s="382"/>
      <c r="AA466" s="364"/>
      <c r="AB466" s="364"/>
      <c r="AC466" s="364"/>
      <c r="AD466" s="382"/>
      <c r="AE466" s="364"/>
      <c r="AF466" s="382"/>
      <c r="AG466" s="364"/>
      <c r="AH466" s="382"/>
      <c r="AI466" s="364"/>
      <c r="AJ466" s="382"/>
      <c r="AK466" s="364"/>
      <c r="AL466" s="382"/>
      <c r="AM466" s="352"/>
    </row>
    <row r="467" spans="3:39" s="351" customFormat="1">
      <c r="C467" s="364"/>
      <c r="D467" s="364"/>
      <c r="E467" s="364"/>
      <c r="F467" s="364"/>
      <c r="G467" s="364"/>
      <c r="H467" s="382"/>
      <c r="I467" s="364"/>
      <c r="J467" s="382"/>
      <c r="K467" s="364"/>
      <c r="L467" s="364"/>
      <c r="M467" s="364"/>
      <c r="N467" s="382"/>
      <c r="O467" s="364"/>
      <c r="P467" s="364"/>
      <c r="Q467" s="364"/>
      <c r="R467" s="382"/>
      <c r="S467" s="364"/>
      <c r="T467" s="382"/>
      <c r="U467" s="364"/>
      <c r="V467" s="382"/>
      <c r="W467" s="364"/>
      <c r="X467" s="382"/>
      <c r="Y467" s="364"/>
      <c r="Z467" s="382"/>
      <c r="AA467" s="364"/>
      <c r="AB467" s="364"/>
      <c r="AC467" s="364"/>
      <c r="AD467" s="382"/>
      <c r="AE467" s="364"/>
      <c r="AF467" s="382"/>
      <c r="AG467" s="364"/>
      <c r="AH467" s="382"/>
      <c r="AI467" s="364"/>
      <c r="AJ467" s="382"/>
      <c r="AK467" s="364"/>
      <c r="AL467" s="382"/>
      <c r="AM467" s="352"/>
    </row>
    <row r="468" spans="3:39" s="351" customFormat="1">
      <c r="C468" s="364"/>
      <c r="D468" s="364"/>
      <c r="E468" s="364"/>
      <c r="F468" s="364"/>
      <c r="G468" s="364"/>
      <c r="H468" s="382"/>
      <c r="I468" s="364"/>
      <c r="J468" s="382"/>
      <c r="K468" s="364"/>
      <c r="L468" s="364"/>
      <c r="M468" s="364"/>
      <c r="N468" s="382"/>
      <c r="O468" s="364"/>
      <c r="P468" s="364"/>
      <c r="Q468" s="364"/>
      <c r="R468" s="382"/>
      <c r="S468" s="364"/>
      <c r="T468" s="382"/>
      <c r="U468" s="364"/>
      <c r="V468" s="382"/>
      <c r="W468" s="364"/>
      <c r="X468" s="382"/>
      <c r="Y468" s="364"/>
      <c r="Z468" s="382"/>
      <c r="AA468" s="364"/>
      <c r="AB468" s="364"/>
      <c r="AC468" s="364"/>
      <c r="AD468" s="382"/>
      <c r="AE468" s="364"/>
      <c r="AF468" s="382"/>
      <c r="AG468" s="364"/>
      <c r="AH468" s="382"/>
      <c r="AI468" s="364"/>
      <c r="AJ468" s="382"/>
      <c r="AK468" s="364"/>
      <c r="AL468" s="382"/>
      <c r="AM468" s="352"/>
    </row>
    <row r="469" spans="3:39" s="351" customFormat="1">
      <c r="C469" s="364"/>
      <c r="D469" s="364"/>
      <c r="E469" s="364"/>
      <c r="F469" s="364"/>
      <c r="G469" s="364"/>
      <c r="H469" s="382"/>
      <c r="I469" s="364"/>
      <c r="J469" s="382"/>
      <c r="K469" s="364"/>
      <c r="L469" s="364"/>
      <c r="M469" s="364"/>
      <c r="N469" s="382"/>
      <c r="O469" s="364"/>
      <c r="P469" s="364"/>
      <c r="Q469" s="364"/>
      <c r="R469" s="382"/>
      <c r="S469" s="364"/>
      <c r="T469" s="382"/>
      <c r="U469" s="364"/>
      <c r="V469" s="382"/>
      <c r="W469" s="364"/>
      <c r="X469" s="382"/>
      <c r="Y469" s="364"/>
      <c r="Z469" s="382"/>
      <c r="AA469" s="364"/>
      <c r="AB469" s="364"/>
      <c r="AC469" s="364"/>
      <c r="AD469" s="382"/>
      <c r="AE469" s="364"/>
      <c r="AF469" s="382"/>
      <c r="AG469" s="364"/>
      <c r="AH469" s="382"/>
      <c r="AI469" s="364"/>
      <c r="AJ469" s="382"/>
      <c r="AK469" s="364"/>
      <c r="AL469" s="382"/>
      <c r="AM469" s="352"/>
    </row>
    <row r="470" spans="3:39" s="351" customFormat="1">
      <c r="C470" s="364"/>
      <c r="D470" s="364"/>
      <c r="E470" s="364"/>
      <c r="F470" s="364"/>
      <c r="G470" s="364"/>
      <c r="H470" s="382"/>
      <c r="I470" s="364"/>
      <c r="J470" s="382"/>
      <c r="K470" s="364"/>
      <c r="L470" s="364"/>
      <c r="M470" s="364"/>
      <c r="N470" s="382"/>
      <c r="O470" s="364"/>
      <c r="P470" s="364"/>
      <c r="Q470" s="364"/>
      <c r="R470" s="382"/>
      <c r="S470" s="364"/>
      <c r="T470" s="382"/>
      <c r="U470" s="364"/>
      <c r="V470" s="382"/>
      <c r="W470" s="364"/>
      <c r="X470" s="382"/>
      <c r="Y470" s="364"/>
      <c r="Z470" s="382"/>
      <c r="AA470" s="364"/>
      <c r="AB470" s="364"/>
      <c r="AC470" s="364"/>
      <c r="AD470" s="382"/>
      <c r="AE470" s="364"/>
      <c r="AF470" s="382"/>
      <c r="AG470" s="364"/>
      <c r="AH470" s="382"/>
      <c r="AI470" s="364"/>
      <c r="AJ470" s="382"/>
      <c r="AK470" s="364"/>
      <c r="AL470" s="382"/>
      <c r="AM470" s="352"/>
    </row>
    <row r="471" spans="3:39" s="351" customFormat="1">
      <c r="C471" s="364"/>
      <c r="D471" s="364"/>
      <c r="E471" s="364"/>
      <c r="F471" s="364"/>
      <c r="G471" s="364"/>
      <c r="H471" s="382"/>
      <c r="I471" s="364"/>
      <c r="J471" s="382"/>
      <c r="K471" s="364"/>
      <c r="L471" s="364"/>
      <c r="M471" s="364"/>
      <c r="N471" s="382"/>
      <c r="O471" s="364"/>
      <c r="P471" s="364"/>
      <c r="Q471" s="364"/>
      <c r="R471" s="382"/>
      <c r="S471" s="364"/>
      <c r="T471" s="382"/>
      <c r="U471" s="364"/>
      <c r="V471" s="382"/>
      <c r="W471" s="364"/>
      <c r="X471" s="382"/>
      <c r="Y471" s="364"/>
      <c r="Z471" s="382"/>
      <c r="AA471" s="364"/>
      <c r="AB471" s="364"/>
      <c r="AC471" s="364"/>
      <c r="AD471" s="382"/>
      <c r="AE471" s="364"/>
      <c r="AF471" s="382"/>
      <c r="AG471" s="364"/>
      <c r="AH471" s="382"/>
      <c r="AI471" s="364"/>
      <c r="AJ471" s="382"/>
      <c r="AK471" s="364"/>
      <c r="AL471" s="382"/>
      <c r="AM471" s="352"/>
    </row>
    <row r="472" spans="3:39" s="351" customFormat="1">
      <c r="C472" s="364"/>
      <c r="D472" s="364"/>
      <c r="E472" s="364"/>
      <c r="F472" s="364"/>
      <c r="G472" s="364"/>
      <c r="H472" s="382"/>
      <c r="I472" s="364"/>
      <c r="J472" s="382"/>
      <c r="K472" s="364"/>
      <c r="L472" s="364"/>
      <c r="M472" s="364"/>
      <c r="N472" s="382"/>
      <c r="O472" s="364"/>
      <c r="P472" s="364"/>
      <c r="Q472" s="364"/>
      <c r="R472" s="382"/>
      <c r="S472" s="364"/>
      <c r="T472" s="382"/>
      <c r="U472" s="364"/>
      <c r="V472" s="382"/>
      <c r="W472" s="364"/>
      <c r="X472" s="382"/>
      <c r="Y472" s="364"/>
      <c r="Z472" s="382"/>
      <c r="AA472" s="364"/>
      <c r="AB472" s="364"/>
      <c r="AC472" s="364"/>
      <c r="AD472" s="382"/>
      <c r="AE472" s="364"/>
      <c r="AF472" s="382"/>
      <c r="AG472" s="364"/>
      <c r="AH472" s="382"/>
      <c r="AI472" s="364"/>
      <c r="AJ472" s="382"/>
      <c r="AK472" s="364"/>
      <c r="AL472" s="382"/>
      <c r="AM472" s="352"/>
    </row>
    <row r="473" spans="3:39" s="351" customFormat="1">
      <c r="C473" s="364"/>
      <c r="D473" s="364"/>
      <c r="E473" s="364"/>
      <c r="F473" s="364"/>
      <c r="G473" s="364"/>
      <c r="H473" s="382"/>
      <c r="I473" s="364"/>
      <c r="J473" s="382"/>
      <c r="K473" s="364"/>
      <c r="L473" s="364"/>
      <c r="M473" s="364"/>
      <c r="N473" s="382"/>
      <c r="O473" s="364"/>
      <c r="P473" s="364"/>
      <c r="Q473" s="364"/>
      <c r="R473" s="382"/>
      <c r="S473" s="364"/>
      <c r="T473" s="382"/>
      <c r="U473" s="364"/>
      <c r="V473" s="382"/>
      <c r="W473" s="364"/>
      <c r="X473" s="382"/>
      <c r="Y473" s="364"/>
      <c r="Z473" s="382"/>
      <c r="AA473" s="364"/>
      <c r="AB473" s="364"/>
      <c r="AC473" s="364"/>
      <c r="AD473" s="382"/>
      <c r="AE473" s="364"/>
      <c r="AF473" s="382"/>
      <c r="AG473" s="364"/>
      <c r="AH473" s="382"/>
      <c r="AI473" s="364"/>
      <c r="AJ473" s="382"/>
      <c r="AK473" s="364"/>
      <c r="AL473" s="382"/>
      <c r="AM473" s="352"/>
    </row>
    <row r="474" spans="3:39" s="351" customFormat="1">
      <c r="C474" s="364"/>
      <c r="D474" s="364"/>
      <c r="E474" s="364"/>
      <c r="F474" s="364"/>
      <c r="G474" s="364"/>
      <c r="H474" s="382"/>
      <c r="I474" s="364"/>
      <c r="J474" s="382"/>
      <c r="K474" s="364"/>
      <c r="L474" s="364"/>
      <c r="M474" s="364"/>
      <c r="N474" s="382"/>
      <c r="O474" s="364"/>
      <c r="P474" s="364"/>
      <c r="Q474" s="364"/>
      <c r="R474" s="382"/>
      <c r="S474" s="364"/>
      <c r="T474" s="382"/>
      <c r="U474" s="364"/>
      <c r="V474" s="382"/>
      <c r="W474" s="364"/>
      <c r="X474" s="382"/>
      <c r="Y474" s="364"/>
      <c r="Z474" s="382"/>
      <c r="AA474" s="364"/>
      <c r="AB474" s="364"/>
      <c r="AC474" s="364"/>
      <c r="AD474" s="382"/>
      <c r="AE474" s="364"/>
      <c r="AF474" s="382"/>
      <c r="AG474" s="364"/>
      <c r="AH474" s="382"/>
      <c r="AI474" s="364"/>
      <c r="AJ474" s="382"/>
      <c r="AK474" s="364"/>
      <c r="AL474" s="382"/>
      <c r="AM474" s="352"/>
    </row>
    <row r="475" spans="3:39" s="351" customFormat="1">
      <c r="C475" s="364"/>
      <c r="D475" s="364"/>
      <c r="E475" s="364"/>
      <c r="F475" s="364"/>
      <c r="G475" s="364"/>
      <c r="H475" s="382"/>
      <c r="I475" s="364"/>
      <c r="J475" s="382"/>
      <c r="K475" s="364"/>
      <c r="L475" s="364"/>
      <c r="M475" s="364"/>
      <c r="N475" s="382"/>
      <c r="O475" s="364"/>
      <c r="P475" s="364"/>
      <c r="Q475" s="364"/>
      <c r="R475" s="382"/>
      <c r="S475" s="364"/>
      <c r="T475" s="382"/>
      <c r="U475" s="364"/>
      <c r="V475" s="382"/>
      <c r="W475" s="364"/>
      <c r="X475" s="382"/>
      <c r="Y475" s="364"/>
      <c r="Z475" s="382"/>
      <c r="AA475" s="364"/>
      <c r="AB475" s="364"/>
      <c r="AC475" s="364"/>
      <c r="AD475" s="382"/>
      <c r="AE475" s="364"/>
      <c r="AF475" s="382"/>
      <c r="AG475" s="364"/>
      <c r="AH475" s="382"/>
      <c r="AI475" s="364"/>
      <c r="AJ475" s="382"/>
      <c r="AK475" s="364"/>
      <c r="AL475" s="382"/>
      <c r="AM475" s="352"/>
    </row>
    <row r="476" spans="3:39" s="351" customFormat="1">
      <c r="C476" s="364"/>
      <c r="D476" s="364"/>
      <c r="E476" s="364"/>
      <c r="F476" s="364"/>
      <c r="G476" s="364"/>
      <c r="H476" s="382"/>
      <c r="I476" s="364"/>
      <c r="J476" s="382"/>
      <c r="K476" s="364"/>
      <c r="L476" s="364"/>
      <c r="M476" s="364"/>
      <c r="N476" s="382"/>
      <c r="O476" s="364"/>
      <c r="P476" s="364"/>
      <c r="Q476" s="364"/>
      <c r="R476" s="382"/>
      <c r="S476" s="364"/>
      <c r="T476" s="382"/>
      <c r="U476" s="364"/>
      <c r="V476" s="382"/>
      <c r="W476" s="364"/>
      <c r="X476" s="382"/>
      <c r="Y476" s="364"/>
      <c r="Z476" s="382"/>
      <c r="AA476" s="364"/>
      <c r="AB476" s="364"/>
      <c r="AC476" s="364"/>
      <c r="AD476" s="382"/>
      <c r="AE476" s="364"/>
      <c r="AF476" s="382"/>
      <c r="AG476" s="364"/>
      <c r="AH476" s="382"/>
      <c r="AI476" s="364"/>
      <c r="AJ476" s="382"/>
      <c r="AK476" s="364"/>
      <c r="AL476" s="382"/>
      <c r="AM476" s="352"/>
    </row>
    <row r="477" spans="3:39" s="351" customFormat="1">
      <c r="C477" s="364"/>
      <c r="D477" s="364"/>
      <c r="E477" s="364"/>
      <c r="F477" s="364"/>
      <c r="G477" s="364"/>
      <c r="H477" s="382"/>
      <c r="I477" s="364"/>
      <c r="J477" s="382"/>
      <c r="K477" s="364"/>
      <c r="L477" s="364"/>
      <c r="M477" s="364"/>
      <c r="N477" s="382"/>
      <c r="O477" s="364"/>
      <c r="P477" s="364"/>
      <c r="Q477" s="364"/>
      <c r="R477" s="382"/>
      <c r="S477" s="364"/>
      <c r="T477" s="382"/>
      <c r="U477" s="364"/>
      <c r="V477" s="382"/>
      <c r="W477" s="364"/>
      <c r="X477" s="382"/>
      <c r="Y477" s="364"/>
      <c r="Z477" s="382"/>
      <c r="AA477" s="364"/>
      <c r="AB477" s="364"/>
      <c r="AC477" s="364"/>
      <c r="AD477" s="382"/>
      <c r="AE477" s="364"/>
      <c r="AF477" s="382"/>
      <c r="AG477" s="364"/>
      <c r="AH477" s="382"/>
      <c r="AI477" s="364"/>
      <c r="AJ477" s="382"/>
      <c r="AK477" s="364"/>
      <c r="AL477" s="382"/>
      <c r="AM477" s="352"/>
    </row>
    <row r="478" spans="3:39" s="351" customFormat="1">
      <c r="C478" s="364"/>
      <c r="D478" s="364"/>
      <c r="E478" s="364"/>
      <c r="F478" s="364"/>
      <c r="G478" s="364"/>
      <c r="H478" s="382"/>
      <c r="I478" s="364"/>
      <c r="J478" s="382"/>
      <c r="K478" s="364"/>
      <c r="L478" s="364"/>
      <c r="M478" s="364"/>
      <c r="N478" s="382"/>
      <c r="O478" s="364"/>
      <c r="P478" s="364"/>
      <c r="Q478" s="364"/>
      <c r="R478" s="382"/>
      <c r="S478" s="364"/>
      <c r="T478" s="382"/>
      <c r="U478" s="364"/>
      <c r="V478" s="382"/>
      <c r="W478" s="364"/>
      <c r="X478" s="382"/>
      <c r="Y478" s="364"/>
      <c r="Z478" s="382"/>
      <c r="AA478" s="364"/>
      <c r="AB478" s="364"/>
      <c r="AC478" s="364"/>
      <c r="AD478" s="382"/>
      <c r="AE478" s="364"/>
      <c r="AF478" s="382"/>
      <c r="AG478" s="364"/>
      <c r="AH478" s="382"/>
      <c r="AI478" s="364"/>
      <c r="AJ478" s="382"/>
      <c r="AK478" s="364"/>
      <c r="AL478" s="382"/>
      <c r="AM478" s="352"/>
    </row>
    <row r="479" spans="3:39" s="351" customFormat="1">
      <c r="C479" s="364"/>
      <c r="D479" s="364"/>
      <c r="E479" s="364"/>
      <c r="F479" s="364"/>
      <c r="G479" s="364"/>
      <c r="H479" s="382"/>
      <c r="I479" s="364"/>
      <c r="J479" s="382"/>
      <c r="K479" s="364"/>
      <c r="L479" s="364"/>
      <c r="M479" s="364"/>
      <c r="N479" s="382"/>
      <c r="O479" s="364"/>
      <c r="P479" s="364"/>
      <c r="Q479" s="364"/>
      <c r="R479" s="382"/>
      <c r="S479" s="364"/>
      <c r="T479" s="382"/>
      <c r="U479" s="364"/>
      <c r="V479" s="382"/>
      <c r="W479" s="364"/>
      <c r="X479" s="382"/>
      <c r="Y479" s="364"/>
      <c r="Z479" s="382"/>
      <c r="AA479" s="364"/>
      <c r="AB479" s="364"/>
      <c r="AC479" s="364"/>
      <c r="AD479" s="382"/>
      <c r="AE479" s="364"/>
      <c r="AF479" s="382"/>
      <c r="AG479" s="364"/>
      <c r="AH479" s="382"/>
      <c r="AI479" s="364"/>
      <c r="AJ479" s="382"/>
      <c r="AK479" s="364"/>
      <c r="AL479" s="382"/>
      <c r="AM479" s="352"/>
    </row>
    <row r="480" spans="3:39" s="351" customFormat="1">
      <c r="C480" s="364"/>
      <c r="D480" s="364"/>
      <c r="E480" s="364"/>
      <c r="F480" s="364"/>
      <c r="G480" s="364"/>
      <c r="H480" s="382"/>
      <c r="I480" s="364"/>
      <c r="J480" s="382"/>
      <c r="K480" s="364"/>
      <c r="L480" s="364"/>
      <c r="M480" s="364"/>
      <c r="N480" s="382"/>
      <c r="O480" s="364"/>
      <c r="P480" s="364"/>
      <c r="Q480" s="364"/>
      <c r="R480" s="382"/>
      <c r="S480" s="364"/>
      <c r="T480" s="382"/>
      <c r="U480" s="364"/>
      <c r="V480" s="382"/>
      <c r="W480" s="364"/>
      <c r="X480" s="382"/>
      <c r="Y480" s="364"/>
      <c r="Z480" s="382"/>
      <c r="AA480" s="364"/>
      <c r="AB480" s="364"/>
      <c r="AC480" s="364"/>
      <c r="AD480" s="382"/>
      <c r="AE480" s="364"/>
      <c r="AF480" s="382"/>
      <c r="AG480" s="364"/>
      <c r="AH480" s="382"/>
      <c r="AI480" s="364"/>
      <c r="AJ480" s="382"/>
      <c r="AK480" s="364"/>
      <c r="AL480" s="382"/>
      <c r="AM480" s="352"/>
    </row>
    <row r="481" spans="3:39" s="351" customFormat="1">
      <c r="C481" s="364"/>
      <c r="D481" s="364"/>
      <c r="E481" s="364"/>
      <c r="F481" s="364"/>
      <c r="G481" s="364"/>
      <c r="H481" s="382"/>
      <c r="I481" s="364"/>
      <c r="J481" s="382"/>
      <c r="K481" s="364"/>
      <c r="L481" s="364"/>
      <c r="M481" s="364"/>
      <c r="N481" s="382"/>
      <c r="O481" s="364"/>
      <c r="P481" s="364"/>
      <c r="Q481" s="364"/>
      <c r="R481" s="382"/>
      <c r="S481" s="364"/>
      <c r="T481" s="382"/>
      <c r="U481" s="364"/>
      <c r="V481" s="382"/>
      <c r="W481" s="364"/>
      <c r="X481" s="382"/>
      <c r="Y481" s="364"/>
      <c r="Z481" s="382"/>
      <c r="AA481" s="364"/>
      <c r="AB481" s="364"/>
      <c r="AC481" s="364"/>
      <c r="AD481" s="382"/>
      <c r="AE481" s="364"/>
      <c r="AF481" s="382"/>
      <c r="AG481" s="364"/>
      <c r="AH481" s="382"/>
      <c r="AI481" s="364"/>
      <c r="AJ481" s="382"/>
      <c r="AK481" s="364"/>
      <c r="AL481" s="382"/>
      <c r="AM481" s="352"/>
    </row>
    <row r="482" spans="3:39" s="351" customFormat="1">
      <c r="C482" s="364"/>
      <c r="D482" s="364"/>
      <c r="E482" s="364"/>
      <c r="F482" s="364"/>
      <c r="G482" s="364"/>
      <c r="H482" s="382"/>
      <c r="I482" s="364"/>
      <c r="J482" s="382"/>
      <c r="K482" s="364"/>
      <c r="L482" s="364"/>
      <c r="M482" s="364"/>
      <c r="N482" s="382"/>
      <c r="O482" s="364"/>
      <c r="P482" s="364"/>
      <c r="Q482" s="364"/>
      <c r="R482" s="382"/>
      <c r="S482" s="364"/>
      <c r="T482" s="382"/>
      <c r="U482" s="364"/>
      <c r="V482" s="382"/>
      <c r="W482" s="364"/>
      <c r="X482" s="382"/>
      <c r="Y482" s="364"/>
      <c r="Z482" s="382"/>
      <c r="AA482" s="364"/>
      <c r="AB482" s="364"/>
      <c r="AC482" s="364"/>
      <c r="AD482" s="382"/>
      <c r="AE482" s="364"/>
      <c r="AF482" s="382"/>
      <c r="AG482" s="364"/>
      <c r="AH482" s="382"/>
      <c r="AI482" s="364"/>
      <c r="AJ482" s="382"/>
      <c r="AK482" s="364"/>
      <c r="AL482" s="382"/>
      <c r="AM482" s="352"/>
    </row>
    <row r="483" spans="3:39" s="351" customFormat="1">
      <c r="C483" s="364"/>
      <c r="D483" s="364"/>
      <c r="E483" s="364"/>
      <c r="F483" s="364"/>
      <c r="G483" s="364"/>
      <c r="H483" s="382"/>
      <c r="I483" s="364"/>
      <c r="J483" s="382"/>
      <c r="K483" s="364"/>
      <c r="L483" s="364"/>
      <c r="M483" s="364"/>
      <c r="N483" s="382"/>
      <c r="O483" s="364"/>
      <c r="P483" s="364"/>
      <c r="Q483" s="364"/>
      <c r="R483" s="382"/>
      <c r="S483" s="364"/>
      <c r="T483" s="382"/>
      <c r="U483" s="364"/>
      <c r="V483" s="382"/>
      <c r="W483" s="364"/>
      <c r="X483" s="382"/>
      <c r="Y483" s="364"/>
      <c r="Z483" s="382"/>
      <c r="AA483" s="364"/>
      <c r="AB483" s="364"/>
      <c r="AC483" s="364"/>
      <c r="AD483" s="382"/>
      <c r="AE483" s="364"/>
      <c r="AF483" s="382"/>
      <c r="AG483" s="364"/>
      <c r="AH483" s="382"/>
      <c r="AI483" s="364"/>
      <c r="AJ483" s="382"/>
      <c r="AK483" s="364"/>
      <c r="AL483" s="382"/>
      <c r="AM483" s="352"/>
    </row>
    <row r="484" spans="3:39" s="351" customFormat="1">
      <c r="C484" s="364"/>
      <c r="D484" s="364"/>
      <c r="E484" s="364"/>
      <c r="F484" s="364"/>
      <c r="G484" s="364"/>
      <c r="H484" s="382"/>
      <c r="I484" s="364"/>
      <c r="J484" s="382"/>
      <c r="K484" s="364"/>
      <c r="L484" s="364"/>
      <c r="M484" s="364"/>
      <c r="N484" s="382"/>
      <c r="O484" s="364"/>
      <c r="P484" s="364"/>
      <c r="Q484" s="364"/>
      <c r="R484" s="382"/>
      <c r="S484" s="364"/>
      <c r="T484" s="382"/>
      <c r="U484" s="364"/>
      <c r="V484" s="382"/>
      <c r="W484" s="364"/>
      <c r="X484" s="382"/>
      <c r="Y484" s="364"/>
      <c r="Z484" s="382"/>
      <c r="AA484" s="364"/>
      <c r="AB484" s="364"/>
      <c r="AC484" s="364"/>
      <c r="AD484" s="382"/>
      <c r="AE484" s="364"/>
      <c r="AF484" s="382"/>
      <c r="AG484" s="364"/>
      <c r="AH484" s="382"/>
      <c r="AI484" s="364"/>
      <c r="AJ484" s="382"/>
      <c r="AK484" s="364"/>
      <c r="AL484" s="382"/>
      <c r="AM484" s="352"/>
    </row>
    <row r="485" spans="3:39" s="351" customFormat="1">
      <c r="C485" s="364"/>
      <c r="D485" s="364"/>
      <c r="E485" s="364"/>
      <c r="F485" s="364"/>
      <c r="G485" s="364"/>
      <c r="H485" s="382"/>
      <c r="I485" s="364"/>
      <c r="J485" s="382"/>
      <c r="K485" s="364"/>
      <c r="L485" s="364"/>
      <c r="M485" s="364"/>
      <c r="N485" s="382"/>
      <c r="O485" s="364"/>
      <c r="P485" s="364"/>
      <c r="Q485" s="364"/>
      <c r="R485" s="382"/>
      <c r="S485" s="364"/>
      <c r="T485" s="382"/>
      <c r="U485" s="364"/>
      <c r="V485" s="382"/>
      <c r="W485" s="364"/>
      <c r="X485" s="382"/>
      <c r="Y485" s="364"/>
      <c r="Z485" s="382"/>
      <c r="AA485" s="364"/>
      <c r="AB485" s="364"/>
      <c r="AC485" s="364"/>
      <c r="AD485" s="382"/>
      <c r="AE485" s="364"/>
      <c r="AF485" s="382"/>
      <c r="AG485" s="364"/>
      <c r="AH485" s="382"/>
      <c r="AI485" s="364"/>
      <c r="AJ485" s="382"/>
      <c r="AK485" s="364"/>
      <c r="AL485" s="382"/>
      <c r="AM485" s="352"/>
    </row>
    <row r="486" spans="3:39" s="351" customFormat="1">
      <c r="C486" s="364"/>
      <c r="D486" s="364"/>
      <c r="E486" s="364"/>
      <c r="F486" s="364"/>
      <c r="G486" s="364"/>
      <c r="H486" s="382"/>
      <c r="I486" s="364"/>
      <c r="J486" s="382"/>
      <c r="K486" s="364"/>
      <c r="L486" s="364"/>
      <c r="M486" s="364"/>
      <c r="N486" s="382"/>
      <c r="O486" s="364"/>
      <c r="P486" s="364"/>
      <c r="Q486" s="364"/>
      <c r="R486" s="382"/>
      <c r="S486" s="364"/>
      <c r="T486" s="382"/>
      <c r="U486" s="364"/>
      <c r="V486" s="382"/>
      <c r="W486" s="364"/>
      <c r="X486" s="382"/>
      <c r="Y486" s="364"/>
      <c r="Z486" s="382"/>
      <c r="AA486" s="364"/>
      <c r="AB486" s="364"/>
      <c r="AC486" s="364"/>
      <c r="AD486" s="382"/>
      <c r="AE486" s="364"/>
      <c r="AF486" s="382"/>
      <c r="AG486" s="364"/>
      <c r="AH486" s="382"/>
      <c r="AI486" s="364"/>
      <c r="AJ486" s="382"/>
      <c r="AK486" s="364"/>
      <c r="AL486" s="382"/>
      <c r="AM486" s="352"/>
    </row>
    <row r="487" spans="3:39" s="351" customFormat="1">
      <c r="C487" s="364"/>
      <c r="D487" s="364"/>
      <c r="E487" s="364"/>
      <c r="F487" s="364"/>
      <c r="G487" s="364"/>
      <c r="H487" s="382"/>
      <c r="I487" s="364"/>
      <c r="J487" s="382"/>
      <c r="K487" s="364"/>
      <c r="L487" s="364"/>
      <c r="M487" s="364"/>
      <c r="N487" s="382"/>
      <c r="O487" s="364"/>
      <c r="P487" s="364"/>
      <c r="Q487" s="364"/>
      <c r="R487" s="382"/>
      <c r="S487" s="364"/>
      <c r="T487" s="382"/>
      <c r="U487" s="364"/>
      <c r="V487" s="382"/>
      <c r="W487" s="364"/>
      <c r="X487" s="382"/>
      <c r="Y487" s="364"/>
      <c r="Z487" s="382"/>
      <c r="AA487" s="364"/>
      <c r="AB487" s="364"/>
      <c r="AC487" s="364"/>
      <c r="AD487" s="382"/>
      <c r="AE487" s="364"/>
      <c r="AF487" s="382"/>
      <c r="AG487" s="364"/>
      <c r="AH487" s="382"/>
      <c r="AI487" s="364"/>
      <c r="AJ487" s="382"/>
      <c r="AK487" s="364"/>
      <c r="AL487" s="382"/>
      <c r="AM487" s="352"/>
    </row>
    <row r="488" spans="3:39" s="351" customFormat="1">
      <c r="C488" s="364"/>
      <c r="D488" s="364"/>
      <c r="E488" s="364"/>
      <c r="F488" s="364"/>
      <c r="G488" s="364"/>
      <c r="H488" s="382"/>
      <c r="I488" s="364"/>
      <c r="J488" s="382"/>
      <c r="K488" s="364"/>
      <c r="L488" s="364"/>
      <c r="M488" s="364"/>
      <c r="N488" s="382"/>
      <c r="O488" s="364"/>
      <c r="P488" s="364"/>
      <c r="Q488" s="364"/>
      <c r="R488" s="382"/>
      <c r="S488" s="364"/>
      <c r="T488" s="382"/>
      <c r="U488" s="364"/>
      <c r="V488" s="382"/>
      <c r="W488" s="364"/>
      <c r="X488" s="382"/>
      <c r="Y488" s="364"/>
      <c r="Z488" s="382"/>
      <c r="AA488" s="364"/>
      <c r="AB488" s="364"/>
      <c r="AC488" s="364"/>
      <c r="AD488" s="382"/>
      <c r="AE488" s="364"/>
      <c r="AF488" s="382"/>
      <c r="AG488" s="364"/>
      <c r="AH488" s="382"/>
      <c r="AI488" s="364"/>
      <c r="AJ488" s="382"/>
      <c r="AK488" s="364"/>
      <c r="AL488" s="382"/>
      <c r="AM488" s="352"/>
    </row>
    <row r="489" spans="3:39" s="351" customFormat="1">
      <c r="C489" s="364"/>
      <c r="D489" s="364"/>
      <c r="E489" s="364"/>
      <c r="F489" s="364"/>
      <c r="G489" s="364"/>
      <c r="H489" s="382"/>
      <c r="I489" s="364"/>
      <c r="J489" s="382"/>
      <c r="K489" s="364"/>
      <c r="L489" s="364"/>
      <c r="M489" s="364"/>
      <c r="N489" s="382"/>
      <c r="O489" s="364"/>
      <c r="P489" s="364"/>
      <c r="Q489" s="364"/>
      <c r="R489" s="382"/>
      <c r="S489" s="364"/>
      <c r="T489" s="382"/>
      <c r="U489" s="364"/>
      <c r="V489" s="382"/>
      <c r="W489" s="364"/>
      <c r="X489" s="382"/>
      <c r="Y489" s="364"/>
      <c r="Z489" s="382"/>
      <c r="AA489" s="364"/>
      <c r="AB489" s="364"/>
      <c r="AC489" s="364"/>
      <c r="AD489" s="382"/>
      <c r="AE489" s="364"/>
      <c r="AF489" s="382"/>
      <c r="AG489" s="364"/>
      <c r="AH489" s="382"/>
      <c r="AI489" s="364"/>
      <c r="AJ489" s="382"/>
      <c r="AK489" s="364"/>
      <c r="AL489" s="382"/>
      <c r="AM489" s="352"/>
    </row>
    <row r="490" spans="3:39" s="351" customFormat="1">
      <c r="C490" s="364"/>
      <c r="D490" s="364"/>
      <c r="E490" s="364"/>
      <c r="F490" s="364"/>
      <c r="G490" s="364"/>
      <c r="H490" s="382"/>
      <c r="I490" s="364"/>
      <c r="J490" s="382"/>
      <c r="K490" s="364"/>
      <c r="L490" s="364"/>
      <c r="M490" s="364"/>
      <c r="N490" s="382"/>
      <c r="O490" s="364"/>
      <c r="P490" s="364"/>
      <c r="Q490" s="364"/>
      <c r="R490" s="382"/>
      <c r="S490" s="364"/>
      <c r="T490" s="382"/>
      <c r="U490" s="364"/>
      <c r="V490" s="382"/>
      <c r="W490" s="364"/>
      <c r="X490" s="382"/>
      <c r="Y490" s="364"/>
      <c r="Z490" s="382"/>
      <c r="AA490" s="364"/>
      <c r="AB490" s="364"/>
      <c r="AC490" s="364"/>
      <c r="AD490" s="382"/>
      <c r="AE490" s="364"/>
      <c r="AF490" s="382"/>
      <c r="AG490" s="364"/>
      <c r="AH490" s="382"/>
      <c r="AI490" s="364"/>
      <c r="AJ490" s="382"/>
      <c r="AK490" s="364"/>
      <c r="AL490" s="382"/>
      <c r="AM490" s="352"/>
    </row>
    <row r="491" spans="3:39" s="351" customFormat="1">
      <c r="C491" s="364"/>
      <c r="D491" s="364"/>
      <c r="E491" s="364"/>
      <c r="F491" s="364"/>
      <c r="G491" s="364"/>
      <c r="H491" s="382"/>
      <c r="I491" s="364"/>
      <c r="J491" s="382"/>
      <c r="K491" s="364"/>
      <c r="L491" s="364"/>
      <c r="M491" s="364"/>
      <c r="N491" s="382"/>
      <c r="O491" s="364"/>
      <c r="P491" s="364"/>
      <c r="Q491" s="364"/>
      <c r="R491" s="382"/>
      <c r="S491" s="364"/>
      <c r="T491" s="382"/>
      <c r="U491" s="364"/>
      <c r="V491" s="382"/>
      <c r="W491" s="364"/>
      <c r="X491" s="382"/>
      <c r="Y491" s="364"/>
      <c r="Z491" s="382"/>
      <c r="AA491" s="364"/>
      <c r="AB491" s="364"/>
      <c r="AC491" s="364"/>
      <c r="AD491" s="382"/>
      <c r="AE491" s="364"/>
      <c r="AF491" s="382"/>
      <c r="AG491" s="364"/>
      <c r="AH491" s="382"/>
      <c r="AI491" s="364"/>
      <c r="AJ491" s="382"/>
      <c r="AK491" s="364"/>
      <c r="AL491" s="382"/>
      <c r="AM491" s="352"/>
    </row>
    <row r="492" spans="3:39" s="351" customFormat="1">
      <c r="C492" s="364"/>
      <c r="D492" s="364"/>
      <c r="E492" s="364"/>
      <c r="F492" s="364"/>
      <c r="G492" s="364"/>
      <c r="H492" s="382"/>
      <c r="I492" s="364"/>
      <c r="J492" s="382"/>
      <c r="K492" s="364"/>
      <c r="L492" s="364"/>
      <c r="M492" s="364"/>
      <c r="N492" s="382"/>
      <c r="O492" s="364"/>
      <c r="P492" s="364"/>
      <c r="Q492" s="364"/>
      <c r="R492" s="382"/>
      <c r="S492" s="364"/>
      <c r="T492" s="382"/>
      <c r="U492" s="364"/>
      <c r="V492" s="382"/>
      <c r="W492" s="364"/>
      <c r="X492" s="382"/>
      <c r="Y492" s="364"/>
      <c r="Z492" s="382"/>
      <c r="AA492" s="364"/>
      <c r="AB492" s="364"/>
      <c r="AC492" s="364"/>
      <c r="AD492" s="382"/>
      <c r="AE492" s="364"/>
      <c r="AF492" s="382"/>
      <c r="AG492" s="364"/>
      <c r="AH492" s="382"/>
      <c r="AI492" s="364"/>
      <c r="AJ492" s="382"/>
      <c r="AK492" s="364"/>
      <c r="AL492" s="382"/>
      <c r="AM492" s="352"/>
    </row>
    <row r="493" spans="3:39" s="351" customFormat="1">
      <c r="C493" s="364"/>
      <c r="D493" s="364"/>
      <c r="E493" s="364"/>
      <c r="F493" s="364"/>
      <c r="G493" s="364"/>
      <c r="H493" s="382"/>
      <c r="I493" s="364"/>
      <c r="J493" s="382"/>
      <c r="K493" s="364"/>
      <c r="L493" s="364"/>
      <c r="M493" s="364"/>
      <c r="N493" s="382"/>
      <c r="O493" s="364"/>
      <c r="P493" s="364"/>
      <c r="Q493" s="364"/>
      <c r="R493" s="382"/>
      <c r="S493" s="364"/>
      <c r="T493" s="382"/>
      <c r="U493" s="364"/>
      <c r="V493" s="382"/>
      <c r="W493" s="364"/>
      <c r="X493" s="382"/>
      <c r="Y493" s="364"/>
      <c r="Z493" s="382"/>
      <c r="AA493" s="364"/>
      <c r="AB493" s="364"/>
      <c r="AC493" s="364"/>
      <c r="AD493" s="382"/>
      <c r="AE493" s="364"/>
      <c r="AF493" s="382"/>
      <c r="AG493" s="364"/>
      <c r="AH493" s="382"/>
      <c r="AI493" s="364"/>
      <c r="AJ493" s="382"/>
      <c r="AK493" s="364"/>
      <c r="AL493" s="382"/>
      <c r="AM493" s="352"/>
    </row>
    <row r="494" spans="3:39" s="351" customFormat="1">
      <c r="C494" s="364"/>
      <c r="D494" s="364"/>
      <c r="E494" s="364"/>
      <c r="F494" s="364"/>
      <c r="G494" s="364"/>
      <c r="H494" s="382"/>
      <c r="I494" s="364"/>
      <c r="J494" s="382"/>
      <c r="K494" s="364"/>
      <c r="L494" s="364"/>
      <c r="M494" s="364"/>
      <c r="N494" s="382"/>
      <c r="O494" s="364"/>
      <c r="P494" s="364"/>
      <c r="Q494" s="364"/>
      <c r="R494" s="382"/>
      <c r="S494" s="364"/>
      <c r="T494" s="382"/>
      <c r="U494" s="364"/>
      <c r="V494" s="382"/>
      <c r="W494" s="364"/>
      <c r="X494" s="382"/>
      <c r="Y494" s="364"/>
      <c r="Z494" s="382"/>
      <c r="AA494" s="364"/>
      <c r="AB494" s="364"/>
      <c r="AC494" s="364"/>
      <c r="AD494" s="382"/>
      <c r="AE494" s="364"/>
      <c r="AF494" s="382"/>
      <c r="AG494" s="364"/>
      <c r="AH494" s="382"/>
      <c r="AI494" s="364"/>
      <c r="AJ494" s="382"/>
      <c r="AK494" s="364"/>
      <c r="AL494" s="382"/>
      <c r="AM494" s="352"/>
    </row>
    <row r="495" spans="3:39" s="351" customFormat="1">
      <c r="C495" s="364"/>
      <c r="D495" s="364"/>
      <c r="E495" s="364"/>
      <c r="F495" s="364"/>
      <c r="G495" s="364"/>
      <c r="H495" s="382"/>
      <c r="I495" s="364"/>
      <c r="J495" s="382"/>
      <c r="K495" s="364"/>
      <c r="L495" s="364"/>
      <c r="M495" s="364"/>
      <c r="N495" s="382"/>
      <c r="O495" s="364"/>
      <c r="P495" s="364"/>
      <c r="Q495" s="364"/>
      <c r="R495" s="382"/>
      <c r="S495" s="364"/>
      <c r="T495" s="382"/>
      <c r="U495" s="364"/>
      <c r="V495" s="382"/>
      <c r="W495" s="364"/>
      <c r="X495" s="382"/>
      <c r="Y495" s="364"/>
      <c r="Z495" s="382"/>
      <c r="AA495" s="364"/>
      <c r="AB495" s="364"/>
      <c r="AC495" s="364"/>
      <c r="AD495" s="382"/>
      <c r="AE495" s="364"/>
      <c r="AF495" s="382"/>
      <c r="AG495" s="364"/>
      <c r="AH495" s="382"/>
      <c r="AI495" s="364"/>
      <c r="AJ495" s="382"/>
      <c r="AK495" s="364"/>
      <c r="AL495" s="382"/>
      <c r="AM495" s="352"/>
    </row>
    <row r="496" spans="3:39" s="351" customFormat="1">
      <c r="C496" s="364"/>
      <c r="D496" s="364"/>
      <c r="E496" s="364"/>
      <c r="F496" s="364"/>
      <c r="G496" s="364"/>
      <c r="H496" s="382"/>
      <c r="I496" s="364"/>
      <c r="J496" s="382"/>
      <c r="K496" s="364"/>
      <c r="L496" s="364"/>
      <c r="M496" s="364"/>
      <c r="N496" s="382"/>
      <c r="O496" s="364"/>
      <c r="P496" s="364"/>
      <c r="Q496" s="364"/>
      <c r="R496" s="382"/>
      <c r="S496" s="364"/>
      <c r="T496" s="382"/>
      <c r="U496" s="364"/>
      <c r="V496" s="382"/>
      <c r="W496" s="364"/>
      <c r="X496" s="382"/>
      <c r="Y496" s="364"/>
      <c r="Z496" s="382"/>
      <c r="AA496" s="364"/>
      <c r="AB496" s="364"/>
      <c r="AC496" s="364"/>
      <c r="AD496" s="382"/>
      <c r="AE496" s="364"/>
      <c r="AF496" s="382"/>
      <c r="AG496" s="364"/>
      <c r="AH496" s="382"/>
      <c r="AI496" s="364"/>
      <c r="AJ496" s="382"/>
      <c r="AK496" s="364"/>
      <c r="AL496" s="382"/>
      <c r="AM496" s="352"/>
    </row>
    <row r="497" spans="3:39" s="351" customFormat="1">
      <c r="C497" s="364"/>
      <c r="D497" s="364"/>
      <c r="E497" s="364"/>
      <c r="F497" s="364"/>
      <c r="G497" s="364"/>
      <c r="H497" s="382"/>
      <c r="I497" s="364"/>
      <c r="J497" s="382"/>
      <c r="K497" s="364"/>
      <c r="L497" s="364"/>
      <c r="M497" s="364"/>
      <c r="N497" s="382"/>
      <c r="O497" s="364"/>
      <c r="P497" s="364"/>
      <c r="Q497" s="364"/>
      <c r="R497" s="382"/>
      <c r="S497" s="364"/>
      <c r="T497" s="382"/>
      <c r="U497" s="364"/>
      <c r="V497" s="382"/>
      <c r="W497" s="364"/>
      <c r="X497" s="382"/>
      <c r="Y497" s="364"/>
      <c r="Z497" s="382"/>
      <c r="AA497" s="364"/>
      <c r="AB497" s="364"/>
      <c r="AC497" s="364"/>
      <c r="AD497" s="382"/>
      <c r="AE497" s="364"/>
      <c r="AF497" s="382"/>
      <c r="AG497" s="364"/>
      <c r="AH497" s="382"/>
      <c r="AI497" s="364"/>
      <c r="AJ497" s="382"/>
      <c r="AK497" s="364"/>
      <c r="AL497" s="382"/>
      <c r="AM497" s="352"/>
    </row>
    <row r="498" spans="3:39" s="351" customFormat="1">
      <c r="C498" s="364"/>
      <c r="D498" s="364"/>
      <c r="E498" s="364"/>
      <c r="F498" s="364"/>
      <c r="G498" s="364"/>
      <c r="H498" s="382"/>
      <c r="I498" s="364"/>
      <c r="J498" s="382"/>
      <c r="K498" s="364"/>
      <c r="L498" s="364"/>
      <c r="M498" s="364"/>
      <c r="N498" s="382"/>
      <c r="O498" s="364"/>
      <c r="P498" s="364"/>
      <c r="Q498" s="364"/>
      <c r="R498" s="382"/>
      <c r="S498" s="364"/>
      <c r="T498" s="382"/>
      <c r="U498" s="364"/>
      <c r="V498" s="382"/>
      <c r="W498" s="364"/>
      <c r="X498" s="382"/>
      <c r="Y498" s="364"/>
      <c r="Z498" s="382"/>
      <c r="AA498" s="364"/>
      <c r="AB498" s="364"/>
      <c r="AC498" s="364"/>
      <c r="AD498" s="382"/>
      <c r="AE498" s="364"/>
      <c r="AF498" s="382"/>
      <c r="AG498" s="364"/>
      <c r="AH498" s="382"/>
      <c r="AI498" s="364"/>
      <c r="AJ498" s="382"/>
      <c r="AK498" s="364"/>
      <c r="AL498" s="382"/>
      <c r="AM498" s="352"/>
    </row>
    <row r="499" spans="3:39" s="351" customFormat="1">
      <c r="C499" s="364"/>
      <c r="D499" s="364"/>
      <c r="E499" s="364"/>
      <c r="F499" s="364"/>
      <c r="G499" s="364"/>
      <c r="H499" s="382"/>
      <c r="I499" s="364"/>
      <c r="J499" s="382"/>
      <c r="K499" s="364"/>
      <c r="L499" s="364"/>
      <c r="M499" s="364"/>
      <c r="N499" s="382"/>
      <c r="O499" s="364"/>
      <c r="P499" s="364"/>
      <c r="Q499" s="364"/>
      <c r="R499" s="382"/>
      <c r="S499" s="364"/>
      <c r="T499" s="382"/>
      <c r="U499" s="364"/>
      <c r="V499" s="382"/>
      <c r="W499" s="364"/>
      <c r="X499" s="382"/>
      <c r="Y499" s="364"/>
      <c r="Z499" s="382"/>
      <c r="AA499" s="364"/>
      <c r="AB499" s="364"/>
      <c r="AC499" s="364"/>
      <c r="AD499" s="382"/>
      <c r="AE499" s="364"/>
      <c r="AF499" s="382"/>
      <c r="AG499" s="364"/>
      <c r="AH499" s="382"/>
      <c r="AI499" s="364"/>
      <c r="AJ499" s="382"/>
      <c r="AK499" s="364"/>
      <c r="AL499" s="382"/>
      <c r="AM499" s="352"/>
    </row>
  </sheetData>
  <sheetProtection password="C6DB" sheet="1" objects="1" scenarios="1" formatCells="0" formatColumns="0" formatRows="0"/>
  <mergeCells count="53">
    <mergeCell ref="A2:N2"/>
    <mergeCell ref="A3:N3"/>
    <mergeCell ref="A4:N4"/>
    <mergeCell ref="C8:N8"/>
    <mergeCell ref="O8:Z8"/>
    <mergeCell ref="C5:K5"/>
    <mergeCell ref="C6:K6"/>
    <mergeCell ref="AA8:AL8"/>
    <mergeCell ref="B8:B10"/>
    <mergeCell ref="A8:A10"/>
    <mergeCell ref="U9:V9"/>
    <mergeCell ref="W9:X9"/>
    <mergeCell ref="Y9:Z9"/>
    <mergeCell ref="AC9:AD9"/>
    <mergeCell ref="AE9:AF9"/>
    <mergeCell ref="AG9:AH9"/>
    <mergeCell ref="AI9:AJ9"/>
    <mergeCell ref="AK9:AL9"/>
    <mergeCell ref="A84:B84"/>
    <mergeCell ref="Q9:R9"/>
    <mergeCell ref="S9:T9"/>
    <mergeCell ref="E9:F9"/>
    <mergeCell ref="G9:H9"/>
    <mergeCell ref="I9:J9"/>
    <mergeCell ref="K9:L9"/>
    <mergeCell ref="M9:N9"/>
    <mergeCell ref="AA86:AL86"/>
    <mergeCell ref="AK87:AL87"/>
    <mergeCell ref="AE87:AF87"/>
    <mergeCell ref="AG87:AH87"/>
    <mergeCell ref="AI87:AJ87"/>
    <mergeCell ref="AC87:AD87"/>
    <mergeCell ref="Q87:R87"/>
    <mergeCell ref="S87:T87"/>
    <mergeCell ref="U87:V87"/>
    <mergeCell ref="W87:X87"/>
    <mergeCell ref="O86:Z86"/>
    <mergeCell ref="Y87:Z87"/>
    <mergeCell ref="B126:P126"/>
    <mergeCell ref="B123:P123"/>
    <mergeCell ref="B121:P121"/>
    <mergeCell ref="B122:P122"/>
    <mergeCell ref="B124:P124"/>
    <mergeCell ref="B125:P125"/>
    <mergeCell ref="I87:J87"/>
    <mergeCell ref="K87:L87"/>
    <mergeCell ref="C86:N86"/>
    <mergeCell ref="A89:B89"/>
    <mergeCell ref="A100:B100"/>
    <mergeCell ref="A86:B88"/>
    <mergeCell ref="E87:F87"/>
    <mergeCell ref="G87:H87"/>
    <mergeCell ref="M87:N87"/>
  </mergeCells>
  <printOptions horizontalCentered="1"/>
  <pageMargins left="0.23622047244094491" right="0.23622047244094491" top="0.74803149606299213" bottom="0.74803149606299213" header="0.31496062992125984" footer="0.31496062992125984"/>
  <pageSetup paperSize="9" scale="46" fitToHeight="0" orientation="landscape" r:id="rId1"/>
  <headerFooter>
    <oddFooter>&amp;A&amp;RPage &amp;P</oddFooter>
  </headerFooter>
  <rowBreaks count="2" manualBreakCount="2">
    <brk id="50" max="37" man="1"/>
    <brk id="97" max="37" man="1"/>
  </rowBreaks>
  <colBreaks count="2" manualBreakCount="2">
    <brk id="16" max="127" man="1"/>
    <brk id="26" max="129"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5" tint="0.79998168889431442"/>
  </sheetPr>
  <dimension ref="A1:N115"/>
  <sheetViews>
    <sheetView showGridLines="0" view="pageBreakPreview" zoomScale="85" zoomScaleNormal="110" zoomScaleSheetLayoutView="85" workbookViewId="0">
      <selection activeCell="A29" sqref="A29:D29"/>
    </sheetView>
  </sheetViews>
  <sheetFormatPr defaultRowHeight="12.75"/>
  <cols>
    <col min="1" max="1" width="46" style="2" customWidth="1"/>
    <col min="2" max="2" width="16.7109375" style="2" customWidth="1"/>
    <col min="3" max="9" width="10.7109375" style="2" customWidth="1"/>
    <col min="10" max="10" width="9.140625" style="49"/>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50"/>
      <c r="I1" s="51" t="s">
        <v>344</v>
      </c>
      <c r="J1" s="55"/>
      <c r="K1" s="3"/>
      <c r="L1" s="3"/>
      <c r="M1" s="3"/>
    </row>
    <row r="2" spans="1:14" s="56" customFormat="1" ht="36.75" customHeight="1">
      <c r="A2" s="3650" t="s">
        <v>819</v>
      </c>
      <c r="B2" s="3650"/>
      <c r="C2" s="3650"/>
      <c r="D2" s="3650"/>
      <c r="E2" s="3650"/>
      <c r="F2" s="3650"/>
      <c r="G2" s="3650"/>
      <c r="H2" s="3650"/>
      <c r="I2" s="3650"/>
      <c r="J2" s="155"/>
      <c r="K2" s="4"/>
      <c r="L2" s="3"/>
      <c r="M2" s="3"/>
    </row>
    <row r="3" spans="1:14" s="231" customFormat="1" ht="18.75">
      <c r="A3" s="3649" t="str">
        <f>'1. Анкетна карта'!A3:J3</f>
        <v>на "Водоснабдяване и канализация" ЕООД , гр. Благоевград</v>
      </c>
      <c r="B3" s="3649"/>
      <c r="C3" s="3649"/>
      <c r="D3" s="3649"/>
      <c r="E3" s="3649"/>
      <c r="F3" s="3649"/>
      <c r="G3" s="3649"/>
      <c r="H3" s="3649"/>
      <c r="I3" s="3649"/>
      <c r="J3" s="157"/>
      <c r="K3" s="238"/>
      <c r="L3" s="239"/>
      <c r="M3" s="239"/>
    </row>
    <row r="4" spans="1:14" s="231" customFormat="1" ht="18.75">
      <c r="A4" s="3649" t="str">
        <f>'1. Анкетна карта'!A4:J4</f>
        <v>ЕИК по БУЛСТАТ: 811047831</v>
      </c>
      <c r="B4" s="3649"/>
      <c r="C4" s="3649"/>
      <c r="D4" s="3649"/>
      <c r="E4" s="3649"/>
      <c r="F4" s="3649"/>
      <c r="G4" s="3649"/>
      <c r="H4" s="3649"/>
      <c r="I4" s="3649"/>
      <c r="J4" s="157"/>
      <c r="K4" s="238"/>
      <c r="L4" s="239"/>
      <c r="M4" s="239"/>
      <c r="N4" s="386"/>
    </row>
    <row r="5" spans="1:14" ht="12" customHeight="1" thickBot="1">
      <c r="A5" s="58"/>
      <c r="B5" s="59"/>
      <c r="C5" s="59"/>
      <c r="D5" s="59"/>
      <c r="E5" s="59"/>
      <c r="F5" s="59"/>
      <c r="G5" s="59"/>
      <c r="H5" s="59"/>
      <c r="I5" s="59"/>
      <c r="J5" s="60"/>
      <c r="K5" s="4"/>
      <c r="L5" s="3"/>
      <c r="M5" s="3"/>
    </row>
    <row r="6" spans="1:14" ht="13.5" thickBot="1">
      <c r="A6" s="1533" t="s">
        <v>345</v>
      </c>
      <c r="B6" s="116" t="s">
        <v>346</v>
      </c>
      <c r="C6" s="1533" t="s">
        <v>252</v>
      </c>
      <c r="D6" s="1535" t="s">
        <v>253</v>
      </c>
      <c r="E6" s="1536"/>
      <c r="F6" s="1536"/>
      <c r="G6" s="1536"/>
      <c r="H6" s="1536"/>
      <c r="I6" s="1537"/>
      <c r="J6" s="60"/>
      <c r="K6" s="4"/>
      <c r="L6"/>
      <c r="M6"/>
    </row>
    <row r="7" spans="1:14" ht="13.5" thickBot="1">
      <c r="A7" s="1534"/>
      <c r="B7" s="2393"/>
      <c r="C7" s="2077" t="str">
        <f>'Приложение '!$G12</f>
        <v>2015 г.</v>
      </c>
      <c r="D7" s="2077" t="str">
        <f>'Приложение '!$G13</f>
        <v>2016 г.</v>
      </c>
      <c r="E7" s="1781" t="str">
        <f>'Приложение '!$G14</f>
        <v>2017 г.</v>
      </c>
      <c r="F7" s="1780" t="str">
        <f>'Приложение '!$G15</f>
        <v>2018 г.</v>
      </c>
      <c r="G7" s="1781" t="str">
        <f>'Приложение '!$G16</f>
        <v>2019 г.</v>
      </c>
      <c r="H7" s="1780" t="str">
        <f>'Приложение '!$G17</f>
        <v>2020 г.</v>
      </c>
      <c r="I7" s="1782" t="str">
        <f>'Приложение '!$G18</f>
        <v>2021 г.</v>
      </c>
      <c r="J7" s="61"/>
      <c r="K7" s="4"/>
      <c r="L7"/>
      <c r="M7"/>
    </row>
    <row r="8" spans="1:14" ht="15" customHeight="1">
      <c r="A8" s="1773" t="s">
        <v>347</v>
      </c>
      <c r="B8" s="62" t="s">
        <v>348</v>
      </c>
      <c r="C8" s="3014">
        <v>1.02</v>
      </c>
      <c r="D8" s="3015">
        <v>1.02</v>
      </c>
      <c r="E8" s="2394">
        <f>'20.Цени за дост.,отв. и преч.'!D9</f>
        <v>1.1632843851255708</v>
      </c>
      <c r="F8" s="2394">
        <f>'20.Цени за дост.,отв. и преч.'!E9</f>
        <v>1.2378854768228518</v>
      </c>
      <c r="G8" s="2394">
        <f>'20.Цени за дост.,отв. и преч.'!F9</f>
        <v>1.2641143191584783</v>
      </c>
      <c r="H8" s="2394">
        <f>'20.Цени за дост.,отв. и преч.'!G9</f>
        <v>1.2648470112894785</v>
      </c>
      <c r="I8" s="2395">
        <f>'20.Цени за дост.,отв. и преч.'!H9</f>
        <v>1.2765048173363416</v>
      </c>
      <c r="J8" s="61"/>
      <c r="K8" s="4"/>
      <c r="L8"/>
      <c r="M8"/>
    </row>
    <row r="9" spans="1:14" ht="15" customHeight="1">
      <c r="A9" s="1774" t="s">
        <v>349</v>
      </c>
      <c r="B9" s="63" t="s">
        <v>348</v>
      </c>
      <c r="C9" s="3014">
        <v>0.13</v>
      </c>
      <c r="D9" s="3015">
        <v>0.13</v>
      </c>
      <c r="E9" s="2396">
        <f>'20.Цени за дост.,отв. и преч.'!I9</f>
        <v>0.12649510002231554</v>
      </c>
      <c r="F9" s="2396">
        <f>'20.Цени за дост.,отв. и преч.'!J9</f>
        <v>0.15170013237673452</v>
      </c>
      <c r="G9" s="2396">
        <f>'20.Цени за дост.,отв. и преч.'!K9</f>
        <v>0.21187053330736899</v>
      </c>
      <c r="H9" s="2396">
        <f>'20.Цени за дост.,отв. и преч.'!L9</f>
        <v>0.2252373218048066</v>
      </c>
      <c r="I9" s="2397">
        <f>'20.Цени за дост.,отв. и преч.'!M9</f>
        <v>0.23311326252780276</v>
      </c>
      <c r="J9" s="61"/>
      <c r="K9" s="4"/>
      <c r="L9"/>
      <c r="M9"/>
    </row>
    <row r="10" spans="1:14" ht="15" customHeight="1">
      <c r="A10" s="1774" t="s">
        <v>350</v>
      </c>
      <c r="B10" s="63" t="s">
        <v>348</v>
      </c>
      <c r="C10" s="3014">
        <v>0.24</v>
      </c>
      <c r="D10" s="3015">
        <v>0.24</v>
      </c>
      <c r="E10" s="2396">
        <f>'20.Цени за дост.,отв. и преч.'!N9</f>
        <v>0.32865941446757091</v>
      </c>
      <c r="F10" s="2396">
        <f>'20.Цени за дост.,отв. и преч.'!O9</f>
        <v>0.3598525027689109</v>
      </c>
      <c r="G10" s="2396">
        <f>'20.Цени за дост.,отв. и преч.'!P9</f>
        <v>0.39978927146806814</v>
      </c>
      <c r="H10" s="2396">
        <f>'20.Цени за дост.,отв. и преч.'!Q9</f>
        <v>0.41014719915372833</v>
      </c>
      <c r="I10" s="2397">
        <f>'20.Цени за дост.,отв. и преч.'!R9</f>
        <v>0.41801234053559261</v>
      </c>
      <c r="J10" s="64"/>
      <c r="K10" s="4"/>
      <c r="L10" s="3"/>
      <c r="M10"/>
    </row>
    <row r="11" spans="1:14" ht="15" customHeight="1">
      <c r="A11" s="1776" t="s">
        <v>254</v>
      </c>
      <c r="B11" s="65" t="s">
        <v>351</v>
      </c>
      <c r="C11" s="2797">
        <f t="shared" ref="C11:I11" si="0">SUM(C8:C10)*1.2</f>
        <v>1.6679999999999999</v>
      </c>
      <c r="D11" s="2797">
        <f t="shared" si="0"/>
        <v>1.6679999999999999</v>
      </c>
      <c r="E11" s="2398">
        <f t="shared" si="0"/>
        <v>1.9421266795385486</v>
      </c>
      <c r="F11" s="2398">
        <f t="shared" si="0"/>
        <v>2.0993257343621967</v>
      </c>
      <c r="G11" s="2398">
        <f t="shared" si="0"/>
        <v>2.2509289487206985</v>
      </c>
      <c r="H11" s="2398">
        <f t="shared" si="0"/>
        <v>2.2802778386976161</v>
      </c>
      <c r="I11" s="2399">
        <f t="shared" si="0"/>
        <v>2.3131565044796845</v>
      </c>
      <c r="J11" s="64"/>
      <c r="K11" s="4"/>
      <c r="L11" s="3"/>
      <c r="M11"/>
    </row>
    <row r="12" spans="1:14" ht="15" customHeight="1">
      <c r="A12" s="1774" t="s">
        <v>352</v>
      </c>
      <c r="B12" s="63" t="s">
        <v>353</v>
      </c>
      <c r="C12" s="2798">
        <v>2.8</v>
      </c>
      <c r="D12" s="2798">
        <v>2.8</v>
      </c>
      <c r="E12" s="2396">
        <v>2.8</v>
      </c>
      <c r="F12" s="2400">
        <v>2.8</v>
      </c>
      <c r="G12" s="2396">
        <v>2.8</v>
      </c>
      <c r="H12" s="2400">
        <v>2.8</v>
      </c>
      <c r="I12" s="2397">
        <v>2.8</v>
      </c>
      <c r="J12" s="64"/>
      <c r="K12" s="4"/>
      <c r="L12" s="3"/>
      <c r="M12"/>
    </row>
    <row r="13" spans="1:14" ht="15" customHeight="1">
      <c r="A13" s="1774" t="s">
        <v>488</v>
      </c>
      <c r="B13" s="63" t="s">
        <v>354</v>
      </c>
      <c r="C13" s="2799">
        <f t="shared" ref="C13:I13" si="1">C11*C12</f>
        <v>4.6703999999999999</v>
      </c>
      <c r="D13" s="2799">
        <f t="shared" si="1"/>
        <v>4.6703999999999999</v>
      </c>
      <c r="E13" s="2401">
        <f t="shared" si="1"/>
        <v>5.4379547027079358</v>
      </c>
      <c r="F13" s="2402">
        <f t="shared" si="1"/>
        <v>5.8781120562141504</v>
      </c>
      <c r="G13" s="2401">
        <f t="shared" si="1"/>
        <v>6.3026010564179558</v>
      </c>
      <c r="H13" s="2401">
        <f t="shared" si="1"/>
        <v>6.3847779483533245</v>
      </c>
      <c r="I13" s="2403">
        <f t="shared" si="1"/>
        <v>6.4768382125431163</v>
      </c>
      <c r="J13" s="64"/>
      <c r="K13" s="4"/>
      <c r="L13" s="3"/>
      <c r="M13"/>
    </row>
    <row r="14" spans="1:14" ht="15" customHeight="1">
      <c r="A14" s="1777" t="s">
        <v>355</v>
      </c>
      <c r="B14" s="63" t="s">
        <v>356</v>
      </c>
      <c r="C14" s="2169">
        <v>585</v>
      </c>
      <c r="D14" s="2798">
        <f t="shared" ref="D14:I14" si="2">C14*(1+D15)</f>
        <v>600.21</v>
      </c>
      <c r="E14" s="2396">
        <f t="shared" si="2"/>
        <v>620.61714000000006</v>
      </c>
      <c r="F14" s="2400">
        <f t="shared" si="2"/>
        <v>641.71812276000003</v>
      </c>
      <c r="G14" s="2396">
        <f t="shared" si="2"/>
        <v>663.53653893384001</v>
      </c>
      <c r="H14" s="2400">
        <f t="shared" si="2"/>
        <v>686.09678125759058</v>
      </c>
      <c r="I14" s="2404">
        <f t="shared" si="2"/>
        <v>709.42407182034867</v>
      </c>
      <c r="J14" s="64"/>
      <c r="K14" s="4"/>
      <c r="L14" s="3"/>
      <c r="M14"/>
    </row>
    <row r="15" spans="1:14" ht="24">
      <c r="A15" s="1778" t="s">
        <v>818</v>
      </c>
      <c r="B15" s="443" t="s">
        <v>226</v>
      </c>
      <c r="C15" s="1779"/>
      <c r="D15" s="2800">
        <v>2.5999999999999999E-2</v>
      </c>
      <c r="E15" s="2405">
        <v>3.4000000000000002E-2</v>
      </c>
      <c r="F15" s="2406">
        <v>3.4000000000000002E-2</v>
      </c>
      <c r="G15" s="2405">
        <v>3.4000000000000002E-2</v>
      </c>
      <c r="H15" s="2405">
        <v>3.4000000000000002E-2</v>
      </c>
      <c r="I15" s="2407">
        <v>3.4000000000000002E-2</v>
      </c>
      <c r="J15" s="64"/>
      <c r="K15" s="4"/>
      <c r="L15" s="3"/>
      <c r="M15"/>
    </row>
    <row r="16" spans="1:14" ht="15" customHeight="1" thickBot="1">
      <c r="A16" s="1778" t="s">
        <v>1009</v>
      </c>
      <c r="B16" s="66" t="s">
        <v>354</v>
      </c>
      <c r="C16" s="2801">
        <f t="shared" ref="C16:I16" si="3">C14*2.5%</f>
        <v>14.625</v>
      </c>
      <c r="D16" s="2801">
        <f t="shared" si="3"/>
        <v>15.005250000000002</v>
      </c>
      <c r="E16" s="2408">
        <f t="shared" si="3"/>
        <v>15.515428500000002</v>
      </c>
      <c r="F16" s="2409">
        <f t="shared" si="3"/>
        <v>16.042953069000003</v>
      </c>
      <c r="G16" s="2408">
        <f t="shared" si="3"/>
        <v>16.588413473346002</v>
      </c>
      <c r="H16" s="2408">
        <f t="shared" si="3"/>
        <v>17.152419531439765</v>
      </c>
      <c r="I16" s="2410">
        <f t="shared" si="3"/>
        <v>17.735601795508718</v>
      </c>
      <c r="J16" s="67"/>
      <c r="K16" s="4"/>
      <c r="L16" s="3"/>
      <c r="M16"/>
    </row>
    <row r="17" spans="1:13" ht="20.25" customHeight="1" thickBot="1">
      <c r="A17" s="1775" t="s">
        <v>357</v>
      </c>
      <c r="B17" s="68" t="s">
        <v>358</v>
      </c>
      <c r="C17" s="2802">
        <f>C16/C12</f>
        <v>5.2232142857142865</v>
      </c>
      <c r="D17" s="2802">
        <f t="shared" ref="D17:I17" si="4">D16/D12</f>
        <v>5.3590178571428586</v>
      </c>
      <c r="E17" s="2411">
        <f t="shared" si="4"/>
        <v>5.5412244642857154</v>
      </c>
      <c r="F17" s="2412">
        <f t="shared" si="4"/>
        <v>5.7296260960714296</v>
      </c>
      <c r="G17" s="2411">
        <f t="shared" si="4"/>
        <v>5.924433383337858</v>
      </c>
      <c r="H17" s="2411">
        <f t="shared" si="4"/>
        <v>6.1258641183713447</v>
      </c>
      <c r="I17" s="2413">
        <f t="shared" si="4"/>
        <v>6.3341434983959708</v>
      </c>
      <c r="K17" s="4"/>
      <c r="L17" s="3"/>
      <c r="M17"/>
    </row>
    <row r="18" spans="1:13" ht="13.5" thickBot="1">
      <c r="A18"/>
      <c r="B18" s="1771"/>
      <c r="C18" s="1771"/>
      <c r="D18" s="1771"/>
      <c r="E18" s="1771"/>
      <c r="F18" s="1771"/>
      <c r="G18" s="1771"/>
      <c r="H18" s="1771"/>
      <c r="I18" s="1771"/>
      <c r="J18" s="52"/>
      <c r="K18" s="4"/>
      <c r="L18" s="3"/>
      <c r="M18"/>
    </row>
    <row r="19" spans="1:13" ht="27" customHeight="1" thickBot="1">
      <c r="A19" s="1775" t="s">
        <v>357</v>
      </c>
      <c r="B19" s="129" t="s">
        <v>226</v>
      </c>
      <c r="C19" s="2803">
        <f>C13/C14</f>
        <v>7.9835897435897429E-3</v>
      </c>
      <c r="D19" s="2804">
        <f t="shared" ref="D19:I19" si="5">D13/D14</f>
        <v>7.7812765532063767E-3</v>
      </c>
      <c r="E19" s="2805">
        <f t="shared" si="5"/>
        <v>8.7621729279148425E-3</v>
      </c>
      <c r="F19" s="2806">
        <f t="shared" si="5"/>
        <v>9.1599595643842222E-3</v>
      </c>
      <c r="G19" s="2805">
        <f t="shared" si="5"/>
        <v>9.498498856664133E-3</v>
      </c>
      <c r="H19" s="2805">
        <f t="shared" si="5"/>
        <v>9.305943596835212E-3</v>
      </c>
      <c r="I19" s="2807">
        <f t="shared" si="5"/>
        <v>9.1297130585431853E-3</v>
      </c>
      <c r="J19" s="52"/>
      <c r="K19" s="4"/>
      <c r="L19" s="3"/>
      <c r="M19"/>
    </row>
    <row r="20" spans="1:13">
      <c r="A20"/>
      <c r="B20"/>
      <c r="C20"/>
      <c r="D20"/>
      <c r="E20"/>
      <c r="F20"/>
      <c r="G20"/>
      <c r="H20"/>
      <c r="I20"/>
      <c r="J20" s="52"/>
      <c r="K20" s="4"/>
      <c r="L20" s="3"/>
      <c r="M20"/>
    </row>
    <row r="21" spans="1:13" ht="15">
      <c r="A21"/>
      <c r="B21"/>
      <c r="C21"/>
      <c r="D21"/>
      <c r="E21" s="366"/>
      <c r="F21" s="384"/>
      <c r="G21" s="366"/>
      <c r="H21" s="384"/>
      <c r="I21" s="366"/>
      <c r="K21" s="4"/>
      <c r="L21" s="3"/>
      <c r="M21"/>
    </row>
    <row r="22" spans="1:13">
      <c r="A22"/>
      <c r="B22"/>
      <c r="C22"/>
      <c r="D22"/>
      <c r="E22" s="291" t="str">
        <f>'12.1.Разходи-увелич.и нам.'!AE118</f>
        <v>Главен счетоводител:</v>
      </c>
      <c r="F22" s="288"/>
      <c r="G22" s="218" t="s">
        <v>262</v>
      </c>
      <c r="H22" s="198"/>
      <c r="I22" s="216"/>
      <c r="K22" s="4"/>
      <c r="L22" s="3"/>
      <c r="M22"/>
    </row>
    <row r="23" spans="1:13">
      <c r="A23" s="20" t="str">
        <f>'12.1.Разходи-увелич.и нам.'!B116</f>
        <v>Дата: 27.08.2018 г.</v>
      </c>
      <c r="B23" s="23"/>
      <c r="C23" s="23"/>
      <c r="D23" s="23"/>
      <c r="E23" s="287"/>
      <c r="F23" s="219"/>
      <c r="G23" s="289"/>
      <c r="H23" s="290" t="s">
        <v>5</v>
      </c>
      <c r="I23" s="216"/>
      <c r="K23" s="4"/>
      <c r="L23" s="3"/>
      <c r="M23"/>
    </row>
    <row r="24" spans="1:13">
      <c r="A24" s="19"/>
      <c r="B24" s="19"/>
      <c r="C24" s="19"/>
      <c r="D24" s="18"/>
      <c r="E24" s="287"/>
      <c r="F24" s="219"/>
      <c r="G24" s="289"/>
      <c r="H24" s="290"/>
      <c r="I24" s="216"/>
      <c r="K24" s="41"/>
      <c r="L24" s="3"/>
      <c r="M24"/>
    </row>
    <row r="25" spans="1:13">
      <c r="A25" s="23"/>
      <c r="B25" s="23"/>
      <c r="C25" s="23"/>
      <c r="D25" s="22"/>
      <c r="E25" s="287"/>
      <c r="F25" s="219"/>
      <c r="G25" s="289"/>
      <c r="H25" s="290"/>
      <c r="I25" s="216"/>
      <c r="K25" s="41"/>
      <c r="L25" s="3"/>
      <c r="M25"/>
    </row>
    <row r="26" spans="1:13">
      <c r="A26" s="23"/>
      <c r="B26" s="23"/>
      <c r="C26" s="23"/>
      <c r="D26" s="18"/>
      <c r="E26" s="287"/>
      <c r="F26" s="219"/>
      <c r="G26" s="289"/>
      <c r="H26" s="290"/>
      <c r="I26" s="216"/>
      <c r="K26" s="4"/>
      <c r="L26" s="3"/>
      <c r="M26"/>
    </row>
    <row r="27" spans="1:13" ht="15">
      <c r="A27" s="23"/>
      <c r="B27" s="23"/>
      <c r="C27" s="23"/>
      <c r="D27" s="24"/>
      <c r="E27" s="351"/>
      <c r="F27" s="291" t="str">
        <f>'12.1.Разходи-увелич.и нам.'!AF124</f>
        <v>Управител:</v>
      </c>
      <c r="G27" s="218" t="s">
        <v>262</v>
      </c>
      <c r="H27" s="216"/>
      <c r="I27" s="216"/>
      <c r="K27" s="4"/>
      <c r="L27" s="3"/>
      <c r="M27"/>
    </row>
    <row r="28" spans="1:13">
      <c r="A28" s="23"/>
      <c r="B28" s="23"/>
      <c r="C28" s="23"/>
      <c r="D28" s="22"/>
      <c r="E28" s="287"/>
      <c r="F28" s="292"/>
      <c r="G28" s="289"/>
      <c r="H28" s="290" t="s">
        <v>6</v>
      </c>
      <c r="I28" s="289"/>
      <c r="K28" s="4"/>
      <c r="L28" s="3"/>
      <c r="M28"/>
    </row>
    <row r="29" spans="1:13">
      <c r="A29" s="3651" t="s">
        <v>247</v>
      </c>
      <c r="B29" s="3651"/>
      <c r="C29" s="3651"/>
      <c r="D29" s="3651"/>
      <c r="E29" s="47"/>
      <c r="F29" s="47"/>
      <c r="G29" s="47"/>
      <c r="H29" s="47"/>
      <c r="K29" s="4"/>
      <c r="L29" s="3"/>
      <c r="M29"/>
    </row>
    <row r="30" spans="1:13">
      <c r="A30" s="3652" t="s">
        <v>248</v>
      </c>
      <c r="B30" s="3652"/>
      <c r="C30" s="3652"/>
      <c r="D30" s="3652"/>
      <c r="E30" s="47"/>
      <c r="F30" s="47"/>
      <c r="G30" s="47"/>
      <c r="H30" s="47"/>
      <c r="K30" s="42"/>
      <c r="L30"/>
      <c r="M30"/>
    </row>
    <row r="31" spans="1:13">
      <c r="A31" s="3653" t="s">
        <v>1537</v>
      </c>
      <c r="B31" s="3653"/>
      <c r="C31" s="3653"/>
      <c r="D31" s="3653"/>
      <c r="E31" s="3653"/>
      <c r="F31" s="3653"/>
      <c r="G31" s="3653"/>
      <c r="H31" s="3653"/>
      <c r="K31" s="42"/>
      <c r="L31"/>
      <c r="M31"/>
    </row>
    <row r="32" spans="1:13">
      <c r="K32" s="42"/>
      <c r="L32"/>
      <c r="M32"/>
    </row>
    <row r="33" spans="11:13">
      <c r="K33" s="41"/>
      <c r="L33"/>
      <c r="M33"/>
    </row>
    <row r="34" spans="11:13">
      <c r="K34" s="3"/>
      <c r="L34"/>
      <c r="M34"/>
    </row>
    <row r="40" spans="11:13" ht="11.25" customHeight="1"/>
    <row r="61" spans="8:8">
      <c r="H61" s="2" t="s">
        <v>263</v>
      </c>
    </row>
    <row r="100" spans="11:11">
      <c r="K100" s="69"/>
    </row>
    <row r="101" spans="11:11">
      <c r="K101" s="69"/>
    </row>
    <row r="102" spans="11:11">
      <c r="K102" s="69"/>
    </row>
    <row r="103" spans="11:11">
      <c r="K103" s="69"/>
    </row>
    <row r="104" spans="11:11">
      <c r="K104" s="69"/>
    </row>
    <row r="105" spans="11:11">
      <c r="K105" s="69"/>
    </row>
    <row r="106" spans="11:11">
      <c r="K106" s="69"/>
    </row>
    <row r="107" spans="11:11">
      <c r="K107" s="69"/>
    </row>
    <row r="108" spans="11:11">
      <c r="K108" s="69"/>
    </row>
    <row r="109" spans="11:11">
      <c r="K109" s="69"/>
    </row>
    <row r="110" spans="11:11">
      <c r="K110" s="69"/>
    </row>
    <row r="111" spans="11:11">
      <c r="K111" s="69"/>
    </row>
    <row r="112" spans="11:11">
      <c r="K112" s="69"/>
    </row>
    <row r="113" spans="11:11">
      <c r="K113" s="69"/>
    </row>
    <row r="114" spans="11:11">
      <c r="K114" s="69"/>
    </row>
    <row r="115" spans="11:11">
      <c r="K115" s="69"/>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70866141732283472" right="0.59055118110236227" top="0.82677165354330717" bottom="0.74803149606299213" header="0.31496062992125984" footer="0.31496062992125984"/>
  <pageSetup paperSize="9" scale="85"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N58"/>
  <sheetViews>
    <sheetView view="pageBreakPreview" zoomScaleNormal="100" zoomScaleSheetLayoutView="100" workbookViewId="0">
      <pane xSplit="8" ySplit="6" topLeftCell="I7" activePane="bottomRight" state="frozen"/>
      <selection pane="topRight" activeCell="I1" sqref="I1"/>
      <selection pane="bottomLeft" activeCell="A7" sqref="A7"/>
      <selection pane="bottomRight" activeCell="G27" sqref="G27"/>
    </sheetView>
  </sheetViews>
  <sheetFormatPr defaultRowHeight="12.75"/>
  <cols>
    <col min="1" max="1" width="49.140625" style="171" customWidth="1"/>
    <col min="2" max="6" width="9.7109375" style="171" customWidth="1"/>
    <col min="7" max="8" width="9.140625" style="182"/>
    <col min="9" max="16384" width="9.140625" style="132"/>
  </cols>
  <sheetData>
    <row r="1" spans="1:10" ht="13.5">
      <c r="H1" s="51" t="s">
        <v>500</v>
      </c>
    </row>
    <row r="2" spans="1:10" ht="36.75" customHeight="1">
      <c r="A2" s="3482" t="s">
        <v>1418</v>
      </c>
      <c r="B2" s="3482"/>
      <c r="C2" s="3482"/>
      <c r="D2" s="3482"/>
      <c r="E2" s="3482"/>
      <c r="F2" s="3482"/>
      <c r="G2" s="3482"/>
      <c r="H2" s="3482"/>
    </row>
    <row r="3" spans="1:10" ht="15.75">
      <c r="A3" s="3489" t="str">
        <f>'1. Анкетна карта'!A3:J3</f>
        <v>на "Водоснабдяване и канализация" ЕООД , гр. Благоевград</v>
      </c>
      <c r="B3" s="3489"/>
      <c r="C3" s="3489"/>
      <c r="D3" s="3489"/>
      <c r="E3" s="3489"/>
      <c r="F3" s="3489"/>
      <c r="G3" s="3489"/>
      <c r="H3" s="3489"/>
    </row>
    <row r="4" spans="1:10" ht="15.75">
      <c r="A4" s="3489" t="str">
        <f>'1. Анкетна карта'!A4:J4</f>
        <v>ЕИК по БУЛСТАТ: 811047831</v>
      </c>
      <c r="B4" s="3489"/>
      <c r="C4" s="3489"/>
      <c r="D4" s="3489"/>
      <c r="E4" s="3489"/>
      <c r="F4" s="3489"/>
      <c r="G4" s="3489"/>
      <c r="H4" s="3489"/>
    </row>
    <row r="5" spans="1:10" ht="13.5" thickBot="1">
      <c r="A5" s="189"/>
      <c r="B5" s="189"/>
      <c r="C5" s="189"/>
      <c r="D5" s="189"/>
      <c r="E5" s="189"/>
      <c r="F5" s="189"/>
      <c r="H5" s="38" t="s">
        <v>250</v>
      </c>
    </row>
    <row r="6" spans="1:10" ht="13.5" thickBot="1">
      <c r="A6" s="2060" t="s">
        <v>681</v>
      </c>
      <c r="B6" s="2061" t="str">
        <f>'Приложение '!$G12</f>
        <v>2015 г.</v>
      </c>
      <c r="C6" s="2062" t="str">
        <f>'Приложение '!$G13</f>
        <v>2016 г.</v>
      </c>
      <c r="D6" s="2063" t="str">
        <f>'Приложение '!$G14</f>
        <v>2017 г.</v>
      </c>
      <c r="E6" s="2064" t="str">
        <f>'Приложение '!$G15</f>
        <v>2018 г.</v>
      </c>
      <c r="F6" s="2064" t="str">
        <f>'Приложение '!$G16</f>
        <v>2019 г.</v>
      </c>
      <c r="G6" s="2064" t="str">
        <f>'Приложение '!$G17</f>
        <v>2020 г.</v>
      </c>
      <c r="H6" s="2065" t="str">
        <f>'Приложение '!$G18</f>
        <v>2021 г.</v>
      </c>
    </row>
    <row r="7" spans="1:10" ht="14.25">
      <c r="A7" s="2054" t="s">
        <v>682</v>
      </c>
      <c r="B7" s="2055">
        <f>B8+B17</f>
        <v>15030</v>
      </c>
      <c r="C7" s="2056">
        <f t="shared" ref="C7:H7" si="0">C8+C17</f>
        <v>14943</v>
      </c>
      <c r="D7" s="2057">
        <f t="shared" si="0"/>
        <v>16895.976452288585</v>
      </c>
      <c r="E7" s="2058">
        <f t="shared" si="0"/>
        <v>19050.503885455098</v>
      </c>
      <c r="F7" s="2058">
        <f t="shared" si="0"/>
        <v>21206.663767097107</v>
      </c>
      <c r="G7" s="2058">
        <f t="shared" si="0"/>
        <v>25473.014430621002</v>
      </c>
      <c r="H7" s="2059">
        <f t="shared" si="0"/>
        <v>25397.955095449925</v>
      </c>
      <c r="I7" s="184"/>
      <c r="J7" s="184"/>
    </row>
    <row r="8" spans="1:10">
      <c r="A8" s="2028" t="s">
        <v>683</v>
      </c>
      <c r="B8" s="2049">
        <f>SUM(B9:B16)</f>
        <v>15030</v>
      </c>
      <c r="C8" s="2043">
        <f t="shared" ref="C8:H8" si="1">SUM(C9:C16)</f>
        <v>14943</v>
      </c>
      <c r="D8" s="2024">
        <f t="shared" si="1"/>
        <v>16895.976452288585</v>
      </c>
      <c r="E8" s="1151">
        <f t="shared" si="1"/>
        <v>19050.503885455098</v>
      </c>
      <c r="F8" s="1151">
        <f t="shared" si="1"/>
        <v>21206.663767097107</v>
      </c>
      <c r="G8" s="1151">
        <f t="shared" si="1"/>
        <v>25473.014430621002</v>
      </c>
      <c r="H8" s="2018">
        <f t="shared" si="1"/>
        <v>25397.955095449925</v>
      </c>
    </row>
    <row r="9" spans="1:10">
      <c r="A9" s="2029" t="s">
        <v>1455</v>
      </c>
      <c r="B9" s="2169">
        <v>12282</v>
      </c>
      <c r="C9" s="2169">
        <v>12215</v>
      </c>
      <c r="D9" s="1420">
        <f>'16. Необходими приходи'!F11+'16. Необходими приходи'!M11+'16. Необходими приходи'!T11</f>
        <v>15056.976452288585</v>
      </c>
      <c r="E9" s="825">
        <f>'16. Необходими приходи'!G11+'16. Необходими приходи'!N11+'16. Необходими приходи'!U11</f>
        <v>16356.503885455098</v>
      </c>
      <c r="F9" s="825">
        <f>'16. Необходими приходи'!H11+'16. Необходими приходи'!O11+'16. Необходими приходи'!V11</f>
        <v>18016.663767097107</v>
      </c>
      <c r="G9" s="825">
        <f>'16. Необходими приходи'!I11+'16. Необходими приходи'!P11+'16. Необходими приходи'!W11</f>
        <v>21707.014430621002</v>
      </c>
      <c r="H9" s="823">
        <f>'16. Необходими приходи'!J11+'16. Необходими приходи'!Q11+'16. Необходими приходи'!X11</f>
        <v>21886.955095449925</v>
      </c>
    </row>
    <row r="10" spans="1:10">
      <c r="A10" s="2029" t="s">
        <v>1456</v>
      </c>
      <c r="B10" s="2169"/>
      <c r="C10" s="2169"/>
      <c r="D10" s="2166"/>
      <c r="E10" s="781"/>
      <c r="F10" s="781"/>
      <c r="G10" s="781"/>
      <c r="H10" s="2205"/>
    </row>
    <row r="11" spans="1:10">
      <c r="A11" s="2030" t="s">
        <v>684</v>
      </c>
      <c r="B11" s="2169"/>
      <c r="C11" s="2169"/>
      <c r="D11" s="2166"/>
      <c r="E11" s="781"/>
      <c r="F11" s="781"/>
      <c r="G11" s="781"/>
      <c r="H11" s="2205"/>
    </row>
    <row r="12" spans="1:10">
      <c r="A12" s="2031" t="s">
        <v>685</v>
      </c>
      <c r="B12" s="2169">
        <v>2318</v>
      </c>
      <c r="C12" s="2996">
        <f>'9.Инвестиционна програма'!F70</f>
        <v>2278</v>
      </c>
      <c r="D12" s="2997">
        <f>'9.Инвестиционна програма'!G70</f>
        <v>1389</v>
      </c>
      <c r="E12" s="2998">
        <f>'9.Инвестиционна програма'!H70</f>
        <v>2244</v>
      </c>
      <c r="F12" s="2998">
        <f>'9.Инвестиционна програма'!I70</f>
        <v>2740</v>
      </c>
      <c r="G12" s="2998">
        <f>'9.Инвестиционна програма'!J70</f>
        <v>3316</v>
      </c>
      <c r="H12" s="2999">
        <f>'9.Инвестиционна програма'!K70</f>
        <v>3061</v>
      </c>
    </row>
    <row r="13" spans="1:10">
      <c r="A13" s="2032" t="s">
        <v>686</v>
      </c>
      <c r="B13" s="2169"/>
      <c r="C13" s="2169"/>
      <c r="D13" s="2166"/>
      <c r="E13" s="781"/>
      <c r="F13" s="781"/>
      <c r="G13" s="781"/>
      <c r="H13" s="2205"/>
    </row>
    <row r="14" spans="1:10">
      <c r="A14" s="2032" t="s">
        <v>1452</v>
      </c>
      <c r="B14" s="2169">
        <v>430</v>
      </c>
      <c r="C14" s="2169">
        <v>450</v>
      </c>
      <c r="D14" s="2166">
        <v>450</v>
      </c>
      <c r="E14" s="781">
        <v>450</v>
      </c>
      <c r="F14" s="781">
        <v>450</v>
      </c>
      <c r="G14" s="781">
        <v>450</v>
      </c>
      <c r="H14" s="2205">
        <v>450</v>
      </c>
    </row>
    <row r="15" spans="1:10">
      <c r="A15" s="2033" t="s">
        <v>1447</v>
      </c>
      <c r="B15" s="2169"/>
      <c r="C15" s="2169"/>
      <c r="D15" s="2166"/>
      <c r="E15" s="781"/>
      <c r="F15" s="781"/>
      <c r="G15" s="781"/>
      <c r="H15" s="2205"/>
    </row>
    <row r="16" spans="1:10">
      <c r="A16" s="2033" t="s">
        <v>1448</v>
      </c>
      <c r="B16" s="2169"/>
      <c r="C16" s="2169"/>
      <c r="D16" s="2166"/>
      <c r="E16" s="781"/>
      <c r="F16" s="781"/>
      <c r="G16" s="781"/>
      <c r="H16" s="2205"/>
    </row>
    <row r="17" spans="1:14">
      <c r="A17" s="2034" t="s">
        <v>687</v>
      </c>
      <c r="B17" s="2049">
        <f>SUM(B18:B21)</f>
        <v>0</v>
      </c>
      <c r="C17" s="2043">
        <f t="shared" ref="C17:H17" si="2">SUM(C18:C21)</f>
        <v>0</v>
      </c>
      <c r="D17" s="2024">
        <f t="shared" si="2"/>
        <v>0</v>
      </c>
      <c r="E17" s="1151">
        <f t="shared" si="2"/>
        <v>0</v>
      </c>
      <c r="F17" s="1151">
        <f t="shared" si="2"/>
        <v>0</v>
      </c>
      <c r="G17" s="1151">
        <f t="shared" si="2"/>
        <v>0</v>
      </c>
      <c r="H17" s="2018">
        <f t="shared" si="2"/>
        <v>0</v>
      </c>
    </row>
    <row r="18" spans="1:14">
      <c r="A18" s="2030" t="s">
        <v>688</v>
      </c>
      <c r="B18" s="2169"/>
      <c r="C18" s="2169"/>
      <c r="D18" s="2166"/>
      <c r="E18" s="781"/>
      <c r="F18" s="781"/>
      <c r="G18" s="781"/>
      <c r="H18" s="2205"/>
    </row>
    <row r="19" spans="1:14">
      <c r="A19" s="2032" t="s">
        <v>689</v>
      </c>
      <c r="B19" s="2169"/>
      <c r="C19" s="2169"/>
      <c r="D19" s="2166"/>
      <c r="E19" s="781"/>
      <c r="F19" s="781"/>
      <c r="G19" s="781"/>
      <c r="H19" s="2205"/>
    </row>
    <row r="20" spans="1:14">
      <c r="A20" s="2032" t="s">
        <v>690</v>
      </c>
      <c r="B20" s="2169"/>
      <c r="C20" s="2169"/>
      <c r="D20" s="2166"/>
      <c r="E20" s="781"/>
      <c r="F20" s="781"/>
      <c r="G20" s="781"/>
      <c r="H20" s="2205"/>
    </row>
    <row r="21" spans="1:14">
      <c r="A21" s="2030" t="s">
        <v>691</v>
      </c>
      <c r="B21" s="2169"/>
      <c r="C21" s="2169"/>
      <c r="D21" s="2166"/>
      <c r="E21" s="781"/>
      <c r="F21" s="781"/>
      <c r="G21" s="781"/>
      <c r="H21" s="2205"/>
    </row>
    <row r="22" spans="1:14" ht="14.25">
      <c r="A22" s="2035" t="s">
        <v>692</v>
      </c>
      <c r="B22" s="2048">
        <f>B23+B37</f>
        <v>14090.692000000001</v>
      </c>
      <c r="C22" s="2042">
        <f t="shared" ref="C22:H22" si="3">C23+C37</f>
        <v>17677.337</v>
      </c>
      <c r="D22" s="2023">
        <f t="shared" si="3"/>
        <v>16467.597000000002</v>
      </c>
      <c r="E22" s="1150">
        <f t="shared" si="3"/>
        <v>18416.781999999999</v>
      </c>
      <c r="F22" s="1150">
        <f t="shared" si="3"/>
        <v>20347.894</v>
      </c>
      <c r="G22" s="1150">
        <f t="shared" si="3"/>
        <v>24275.404999999999</v>
      </c>
      <c r="H22" s="2017">
        <f t="shared" si="3"/>
        <v>23975.376</v>
      </c>
      <c r="I22" s="184"/>
      <c r="J22" s="184"/>
    </row>
    <row r="23" spans="1:14">
      <c r="A23" s="2028" t="s">
        <v>693</v>
      </c>
      <c r="B23" s="2049">
        <f>SUM(B24:B36)</f>
        <v>14090.692000000001</v>
      </c>
      <c r="C23" s="2043">
        <f t="shared" ref="C23:H23" si="4">SUM(C24:C36)</f>
        <v>17677.337</v>
      </c>
      <c r="D23" s="2024">
        <f t="shared" si="4"/>
        <v>16467.597000000002</v>
      </c>
      <c r="E23" s="1151">
        <f t="shared" si="4"/>
        <v>18416.781999999999</v>
      </c>
      <c r="F23" s="1151">
        <f t="shared" si="4"/>
        <v>20347.894</v>
      </c>
      <c r="G23" s="1151">
        <f t="shared" si="4"/>
        <v>24275.404999999999</v>
      </c>
      <c r="H23" s="2018">
        <f t="shared" si="4"/>
        <v>23975.376</v>
      </c>
    </row>
    <row r="24" spans="1:14">
      <c r="A24" s="2030" t="s">
        <v>694</v>
      </c>
      <c r="B24" s="2050">
        <f>'12. Разходи'!C11+'12. Разходи'!J11+'12. Разходи'!Q11</f>
        <v>1783.2719999999999</v>
      </c>
      <c r="C24" s="2044">
        <f>'12. Разходи'!D11+'12. Разходи'!K11+'12. Разходи'!R11</f>
        <v>1726.2270000000001</v>
      </c>
      <c r="D24" s="1420">
        <f>'12. Разходи'!E11+'12. Разходи'!L11+'12. Разходи'!S11</f>
        <v>1861.2270000000001</v>
      </c>
      <c r="E24" s="825">
        <f>'12. Разходи'!F11+'12. Разходи'!M11+'12. Разходи'!T11</f>
        <v>1823.3920000000001</v>
      </c>
      <c r="F24" s="825">
        <f>'12. Разходи'!G11+'12. Разходи'!N11+'12. Разходи'!U11</f>
        <v>2106.9989999999998</v>
      </c>
      <c r="G24" s="825">
        <f>'12. Разходи'!H11+'12. Разходи'!O11+'12. Разходи'!V11</f>
        <v>2817.145</v>
      </c>
      <c r="H24" s="823">
        <f>'12. Разходи'!I11+'12. Разходи'!P11+'12. Разходи'!W11</f>
        <v>2705.4059999999999</v>
      </c>
      <c r="I24" s="388"/>
      <c r="J24" s="388"/>
      <c r="K24" s="388"/>
      <c r="L24" s="388"/>
      <c r="M24" s="388"/>
      <c r="N24" s="388"/>
    </row>
    <row r="25" spans="1:14">
      <c r="A25" s="2030" t="s">
        <v>695</v>
      </c>
      <c r="B25" s="2050">
        <f>'12. Разходи'!C28+'12. Разходи'!J28+'12. Разходи'!Q28</f>
        <v>1829</v>
      </c>
      <c r="C25" s="2044">
        <f>'12. Разходи'!D28+'12. Разходи'!K28+'12. Разходи'!R28</f>
        <v>1817</v>
      </c>
      <c r="D25" s="1420">
        <f>'12. Разходи'!E28+'12. Разходи'!L28+'12. Разходи'!S28</f>
        <v>1916.55</v>
      </c>
      <c r="E25" s="825">
        <f>'12. Разходи'!F28+'12. Разходи'!M28+'12. Разходи'!T28</f>
        <v>1920.49</v>
      </c>
      <c r="F25" s="825">
        <f>'12. Разходи'!G28+'12. Разходи'!N28+'12. Разходи'!U28</f>
        <v>1970</v>
      </c>
      <c r="G25" s="825">
        <f>'12. Разходи'!H28+'12. Разходи'!O28+'12. Разходи'!V28</f>
        <v>2267.6999999999998</v>
      </c>
      <c r="H25" s="823">
        <f>'12. Разходи'!I28+'12. Разходи'!P28+'12. Разходи'!W28</f>
        <v>2267.54</v>
      </c>
      <c r="I25" s="388"/>
      <c r="J25" s="388"/>
      <c r="K25" s="388"/>
      <c r="L25" s="388"/>
      <c r="M25" s="388"/>
      <c r="N25" s="388"/>
    </row>
    <row r="26" spans="1:14">
      <c r="A26" s="2030" t="s">
        <v>624</v>
      </c>
      <c r="B26" s="2050">
        <f>'12. Разходи'!C57+'12. Разходи'!J57+'12. Разходи'!Q57</f>
        <v>4994</v>
      </c>
      <c r="C26" s="2044">
        <f>'12. Разходи'!D57+'12. Разходи'!K57+'12. Разходи'!R57</f>
        <v>5105</v>
      </c>
      <c r="D26" s="1420">
        <f>'12. Разходи'!E57+'12. Разходи'!L57+'12. Разходи'!S57</f>
        <v>5234.3</v>
      </c>
      <c r="E26" s="825">
        <f>'12. Разходи'!F57+'12. Разходи'!M57+'12. Разходи'!T57</f>
        <v>5388.45</v>
      </c>
      <c r="F26" s="825">
        <f>'12. Разходи'!G57+'12. Разходи'!N57+'12. Разходи'!U57</f>
        <v>5879</v>
      </c>
      <c r="G26" s="825">
        <f>'12. Разходи'!H57+'12. Разходи'!O57+'12. Разходи'!V57</f>
        <v>6943.3</v>
      </c>
      <c r="H26" s="823">
        <f>'12. Разходи'!I57+'12. Разходи'!P57+'12. Разходи'!W57</f>
        <v>7137.96</v>
      </c>
      <c r="I26" s="388"/>
      <c r="J26" s="388"/>
      <c r="K26" s="388"/>
      <c r="L26" s="388"/>
      <c r="M26" s="388"/>
      <c r="N26" s="388"/>
    </row>
    <row r="27" spans="1:14">
      <c r="A27" s="2030" t="s">
        <v>696</v>
      </c>
      <c r="B27" s="2050">
        <f>'12. Разходи'!C61+'12. Разходи'!J61+'12. Разходи'!Q61</f>
        <v>2384</v>
      </c>
      <c r="C27" s="2044">
        <f>'12. Разходи'!D61+'12. Разходи'!K61+'12. Разходи'!R61</f>
        <v>2434</v>
      </c>
      <c r="D27" s="1420">
        <f>'12. Разходи'!E61+'12. Разходи'!L61+'12. Разходи'!S61</f>
        <v>2501.15</v>
      </c>
      <c r="E27" s="825">
        <f>'12. Разходи'!F61+'12. Разходи'!M61+'12. Разходи'!T61</f>
        <v>2563.56</v>
      </c>
      <c r="F27" s="825">
        <f>'12. Разходи'!G61+'12. Разходи'!N61+'12. Разходи'!U61</f>
        <v>2664</v>
      </c>
      <c r="G27" s="825">
        <f>'12. Разходи'!H61+'12. Разходи'!O61+'12. Разходи'!V61</f>
        <v>3162</v>
      </c>
      <c r="H27" s="823">
        <f>'12. Разходи'!I61+'12. Разходи'!P61+'12. Разходи'!W61</f>
        <v>3233</v>
      </c>
      <c r="I27" s="388"/>
      <c r="J27" s="388"/>
      <c r="K27" s="388"/>
      <c r="L27" s="388"/>
      <c r="M27" s="388"/>
      <c r="N27" s="388"/>
    </row>
    <row r="28" spans="1:14">
      <c r="A28" s="2030" t="s">
        <v>697</v>
      </c>
      <c r="B28" s="2050">
        <f>'12. Разходи'!C53+'12. Разходи'!J53+'12. Разходи'!Q53</f>
        <v>1389.42</v>
      </c>
      <c r="C28" s="2044">
        <f>'12. Разходи'!D53+'12. Разходи'!K53+'12. Разходи'!R53</f>
        <v>2453.11</v>
      </c>
      <c r="D28" s="1420">
        <f>'12. Разходи'!E53+'12. Разходи'!L53+'12. Разходи'!S53</f>
        <v>1800.3700000000001</v>
      </c>
      <c r="E28" s="825">
        <f>'12. Разходи'!F53+'12. Разходи'!M53+'12. Разходи'!T53</f>
        <v>2733.89</v>
      </c>
      <c r="F28" s="825">
        <f>'12. Разходи'!G53+'12. Разходи'!N53+'12. Разходи'!U53</f>
        <v>3233.895</v>
      </c>
      <c r="G28" s="825">
        <f>'12. Разходи'!H53+'12. Разходи'!O53+'12. Разходи'!V53</f>
        <v>3837.26</v>
      </c>
      <c r="H28" s="823">
        <f>'12. Разходи'!I53+'12. Разходи'!P53+'12. Разходи'!W53</f>
        <v>3650.47</v>
      </c>
      <c r="I28" s="388"/>
      <c r="J28" s="388"/>
      <c r="K28" s="388"/>
      <c r="L28" s="388"/>
      <c r="M28" s="388"/>
      <c r="N28" s="388"/>
    </row>
    <row r="29" spans="1:14">
      <c r="A29" s="2030" t="s">
        <v>698</v>
      </c>
      <c r="B29" s="2169"/>
      <c r="C29" s="2169"/>
      <c r="D29" s="2166"/>
      <c r="E29" s="781"/>
      <c r="F29" s="781"/>
      <c r="G29" s="781"/>
      <c r="H29" s="2205"/>
    </row>
    <row r="30" spans="1:14">
      <c r="A30" s="2031" t="s">
        <v>699</v>
      </c>
      <c r="B30" s="2169"/>
      <c r="C30" s="2996">
        <f>'9.Инвестиционна програма'!F70</f>
        <v>2278</v>
      </c>
      <c r="D30" s="2997">
        <f>'9.Инвестиционна програма'!G70</f>
        <v>1389</v>
      </c>
      <c r="E30" s="2998">
        <f>'9.Инвестиционна програма'!H70</f>
        <v>2244</v>
      </c>
      <c r="F30" s="2998">
        <f>'9.Инвестиционна програма'!I70</f>
        <v>2740</v>
      </c>
      <c r="G30" s="2998">
        <f>'9.Инвестиционна програма'!J70</f>
        <v>3316</v>
      </c>
      <c r="H30" s="2999">
        <f>'9.Инвестиционна програма'!K70</f>
        <v>3061</v>
      </c>
    </row>
    <row r="31" spans="1:14">
      <c r="A31" s="2030" t="s">
        <v>626</v>
      </c>
      <c r="B31" s="2050">
        <f>'12. Разходи'!C66+'12. Разходи'!J66+'12. Разходи'!Q66</f>
        <v>668</v>
      </c>
      <c r="C31" s="2044">
        <f>'12. Разходи'!D66+'12. Разходи'!K66+'12. Разходи'!R66</f>
        <v>627</v>
      </c>
      <c r="D31" s="1420">
        <f>'12. Разходи'!E66+'12. Разходи'!L66+'12. Разходи'!S66</f>
        <v>738</v>
      </c>
      <c r="E31" s="825">
        <f>'12. Разходи'!F66+'12. Разходи'!M66+'12. Разходи'!T66</f>
        <v>714</v>
      </c>
      <c r="F31" s="825">
        <f>'12. Разходи'!G66+'12. Разходи'!N66+'12. Разходи'!U66</f>
        <v>715</v>
      </c>
      <c r="G31" s="825">
        <f>'12. Разходи'!H66+'12. Разходи'!O66+'12. Разходи'!V66</f>
        <v>792</v>
      </c>
      <c r="H31" s="823">
        <f>'12. Разходи'!I66+'12. Разходи'!P66+'12. Разходи'!W66</f>
        <v>778</v>
      </c>
    </row>
    <row r="32" spans="1:14">
      <c r="A32" s="2032" t="s">
        <v>700</v>
      </c>
      <c r="B32" s="2050">
        <f>('12. Разходи'!C72+'12. Разходи'!J72+'12. Разходи'!Q72)</f>
        <v>109</v>
      </c>
      <c r="C32" s="2044">
        <f>('12. Разходи'!D72+'12. Разходи'!K72+'12. Разходи'!R72)</f>
        <v>329</v>
      </c>
      <c r="D32" s="1420">
        <f>('12. Разходи'!E72+'12. Разходи'!L72+'12. Разходи'!S72)</f>
        <v>109</v>
      </c>
      <c r="E32" s="825">
        <f>('12. Разходи'!F72+'12. Разходи'!M72+'12. Разходи'!T72)</f>
        <v>109</v>
      </c>
      <c r="F32" s="825">
        <f>('12. Разходи'!G72+'12. Разходи'!N72+'12. Разходи'!U72)</f>
        <v>116</v>
      </c>
      <c r="G32" s="825">
        <f>('12. Разходи'!H72+'12. Разходи'!O72+'12. Разходи'!V72)</f>
        <v>215</v>
      </c>
      <c r="H32" s="823">
        <f>('12. Разходи'!I72+'12. Разходи'!P72+'12. Разходи'!W72)</f>
        <v>215</v>
      </c>
    </row>
    <row r="33" spans="1:10">
      <c r="A33" s="2032" t="s">
        <v>288</v>
      </c>
      <c r="B33" s="2050">
        <f>'12. Разходи'!X84</f>
        <v>934</v>
      </c>
      <c r="C33" s="2044">
        <f>'12. Разходи'!Y84</f>
        <v>908</v>
      </c>
      <c r="D33" s="1420">
        <f>'12. Разходи'!Z84</f>
        <v>918</v>
      </c>
      <c r="E33" s="825">
        <f>'12. Разходи'!AA84</f>
        <v>920</v>
      </c>
      <c r="F33" s="825">
        <f>'12. Разходи'!AB84</f>
        <v>923</v>
      </c>
      <c r="G33" s="825">
        <f>'12. Разходи'!AC84</f>
        <v>925</v>
      </c>
      <c r="H33" s="823">
        <f>'12. Разходи'!AD84</f>
        <v>927</v>
      </c>
    </row>
    <row r="34" spans="1:10">
      <c r="A34" s="2033" t="s">
        <v>1444</v>
      </c>
      <c r="B34" s="2169"/>
      <c r="C34" s="2169"/>
      <c r="D34" s="2166"/>
      <c r="E34" s="781"/>
      <c r="F34" s="781"/>
      <c r="G34" s="781"/>
      <c r="H34" s="2205"/>
    </row>
    <row r="35" spans="1:10">
      <c r="A35" s="2033" t="s">
        <v>1445</v>
      </c>
      <c r="B35" s="2169"/>
      <c r="C35" s="2169"/>
      <c r="D35" s="2166"/>
      <c r="E35" s="781"/>
      <c r="F35" s="781"/>
      <c r="G35" s="781"/>
      <c r="H35" s="2205"/>
    </row>
    <row r="36" spans="1:10">
      <c r="A36" s="2033" t="s">
        <v>1446</v>
      </c>
      <c r="B36" s="2169"/>
      <c r="C36" s="2169"/>
      <c r="D36" s="2166"/>
      <c r="E36" s="781"/>
      <c r="F36" s="781"/>
      <c r="G36" s="781"/>
      <c r="H36" s="2205"/>
    </row>
    <row r="37" spans="1:10">
      <c r="A37" s="2036" t="s">
        <v>701</v>
      </c>
      <c r="B37" s="2049">
        <f>SUM(B38:B41)</f>
        <v>0</v>
      </c>
      <c r="C37" s="2043">
        <f t="shared" ref="C37:H37" si="5">SUM(C38:C41)</f>
        <v>0</v>
      </c>
      <c r="D37" s="2024">
        <f t="shared" si="5"/>
        <v>0</v>
      </c>
      <c r="E37" s="1151">
        <f t="shared" si="5"/>
        <v>0</v>
      </c>
      <c r="F37" s="1151">
        <f>SUM(F38:F41)</f>
        <v>0</v>
      </c>
      <c r="G37" s="1151">
        <f>SUM(G38:G41)</f>
        <v>0</v>
      </c>
      <c r="H37" s="2018">
        <f t="shared" si="5"/>
        <v>0</v>
      </c>
    </row>
    <row r="38" spans="1:10">
      <c r="A38" s="2030" t="s">
        <v>702</v>
      </c>
      <c r="B38" s="2995">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2996">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2997">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2998">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2998">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2998">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2999">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030" t="s">
        <v>703</v>
      </c>
      <c r="B39" s="2169"/>
      <c r="C39" s="2169"/>
      <c r="D39" s="2166"/>
      <c r="E39" s="781"/>
      <c r="F39" s="781"/>
      <c r="G39" s="781"/>
      <c r="H39" s="2205"/>
    </row>
    <row r="40" spans="1:10">
      <c r="A40" s="2030" t="s">
        <v>704</v>
      </c>
      <c r="B40" s="2169"/>
      <c r="C40" s="2169"/>
      <c r="D40" s="2166"/>
      <c r="E40" s="781"/>
      <c r="F40" s="781"/>
      <c r="G40" s="781"/>
      <c r="H40" s="2205"/>
    </row>
    <row r="41" spans="1:10">
      <c r="A41" s="2037" t="s">
        <v>705</v>
      </c>
      <c r="B41" s="2169"/>
      <c r="C41" s="2169"/>
      <c r="D41" s="2166"/>
      <c r="E41" s="781"/>
      <c r="F41" s="781"/>
      <c r="G41" s="781"/>
      <c r="H41" s="2205"/>
    </row>
    <row r="42" spans="1:10" ht="14.25">
      <c r="A42" s="2038" t="s">
        <v>706</v>
      </c>
      <c r="B42" s="2052">
        <f t="shared" ref="B42:H42" si="6">B8-B23</f>
        <v>939.30799999999908</v>
      </c>
      <c r="C42" s="2046">
        <f t="shared" si="6"/>
        <v>-2734.3369999999995</v>
      </c>
      <c r="D42" s="2026">
        <f t="shared" si="6"/>
        <v>428.37945228858371</v>
      </c>
      <c r="E42" s="1153">
        <f t="shared" si="6"/>
        <v>633.72188545509925</v>
      </c>
      <c r="F42" s="1153">
        <f t="shared" si="6"/>
        <v>858.76976709710652</v>
      </c>
      <c r="G42" s="1153">
        <f t="shared" si="6"/>
        <v>1197.6094306210034</v>
      </c>
      <c r="H42" s="2020">
        <f t="shared" si="6"/>
        <v>1422.5790954499244</v>
      </c>
      <c r="I42" s="184"/>
      <c r="J42" s="184"/>
    </row>
    <row r="43" spans="1:10" ht="14.25">
      <c r="A43" s="2038" t="s">
        <v>707</v>
      </c>
      <c r="B43" s="2052">
        <f t="shared" ref="B43:H43" si="7">B7-B22</f>
        <v>939.30799999999908</v>
      </c>
      <c r="C43" s="2046">
        <f t="shared" si="7"/>
        <v>-2734.3369999999995</v>
      </c>
      <c r="D43" s="2026">
        <f t="shared" si="7"/>
        <v>428.37945228858371</v>
      </c>
      <c r="E43" s="1153">
        <f t="shared" si="7"/>
        <v>633.72188545509925</v>
      </c>
      <c r="F43" s="1153">
        <f t="shared" si="7"/>
        <v>858.76976709710652</v>
      </c>
      <c r="G43" s="1153">
        <f t="shared" si="7"/>
        <v>1197.6094306210034</v>
      </c>
      <c r="H43" s="2020">
        <f t="shared" si="7"/>
        <v>1422.5790954499244</v>
      </c>
      <c r="I43" s="184"/>
      <c r="J43" s="184"/>
    </row>
    <row r="44" spans="1:10">
      <c r="A44" s="2039" t="s">
        <v>708</v>
      </c>
      <c r="B44" s="2169">
        <v>69</v>
      </c>
      <c r="C44" s="2044">
        <f t="shared" ref="C44:H44" si="8">10%*(C43-C29)</f>
        <v>-273.43369999999999</v>
      </c>
      <c r="D44" s="1420">
        <f t="shared" si="8"/>
        <v>42.837945228858374</v>
      </c>
      <c r="E44" s="825">
        <f t="shared" si="8"/>
        <v>63.372188545509928</v>
      </c>
      <c r="F44" s="825">
        <f t="shared" si="8"/>
        <v>85.876976709710661</v>
      </c>
      <c r="G44" s="825">
        <f t="shared" si="8"/>
        <v>119.76094306210035</v>
      </c>
      <c r="H44" s="823">
        <f t="shared" si="8"/>
        <v>142.25790954499243</v>
      </c>
    </row>
    <row r="45" spans="1:10">
      <c r="A45" s="2040" t="s">
        <v>709</v>
      </c>
      <c r="B45" s="2169">
        <v>-28</v>
      </c>
      <c r="C45" s="2169"/>
      <c r="D45" s="2166"/>
      <c r="E45" s="781"/>
      <c r="F45" s="781"/>
      <c r="G45" s="781"/>
      <c r="H45" s="2205"/>
    </row>
    <row r="46" spans="1:10" ht="15" thickBot="1">
      <c r="A46" s="2041" t="s">
        <v>710</v>
      </c>
      <c r="B46" s="2053">
        <f>B43-B44-B45</f>
        <v>898.30799999999908</v>
      </c>
      <c r="C46" s="2047">
        <f t="shared" ref="C46:H46" si="9">C43-C44-C45</f>
        <v>-2460.9032999999995</v>
      </c>
      <c r="D46" s="2027">
        <f t="shared" si="9"/>
        <v>385.54150705972535</v>
      </c>
      <c r="E46" s="2021">
        <f t="shared" si="9"/>
        <v>570.34969690958928</v>
      </c>
      <c r="F46" s="2021">
        <f t="shared" si="9"/>
        <v>772.89279038739585</v>
      </c>
      <c r="G46" s="2021">
        <f t="shared" si="9"/>
        <v>1077.8484875589031</v>
      </c>
      <c r="H46" s="2022">
        <f t="shared" si="9"/>
        <v>1280.321185904932</v>
      </c>
      <c r="I46" s="184"/>
      <c r="J46" s="184"/>
    </row>
    <row r="47" spans="1:10" ht="14.25">
      <c r="I47" s="184"/>
      <c r="J47" s="184"/>
    </row>
    <row r="49" spans="1:13" s="198" customFormat="1">
      <c r="A49" s="193"/>
      <c r="B49" s="193"/>
      <c r="C49" s="193"/>
      <c r="D49" s="291" t="str">
        <f>'13. Соц. поносимост'!E22</f>
        <v>Главен счетоводител:</v>
      </c>
      <c r="E49" s="288"/>
      <c r="F49" s="218" t="s">
        <v>262</v>
      </c>
      <c r="I49" s="216"/>
      <c r="K49" s="389"/>
      <c r="L49" s="390"/>
      <c r="M49" s="193"/>
    </row>
    <row r="50" spans="1:13" s="198" customFormat="1">
      <c r="A50" s="213" t="str">
        <f>'13. Соц. поносимост'!A23</f>
        <v>Дата: 27.08.2018 г.</v>
      </c>
      <c r="B50" s="220"/>
      <c r="C50" s="220"/>
      <c r="D50" s="287"/>
      <c r="E50" s="219"/>
      <c r="F50" s="289"/>
      <c r="G50" s="290" t="s">
        <v>5</v>
      </c>
      <c r="I50" s="216"/>
      <c r="K50" s="389"/>
      <c r="L50" s="390"/>
      <c r="M50" s="193"/>
    </row>
    <row r="51" spans="1:13" s="198" customFormat="1">
      <c r="A51" s="211"/>
      <c r="B51" s="211"/>
      <c r="C51" s="211"/>
      <c r="D51" s="287"/>
      <c r="E51" s="219"/>
      <c r="F51" s="289"/>
      <c r="G51" s="290"/>
      <c r="I51" s="216"/>
      <c r="K51" s="391"/>
      <c r="L51" s="390"/>
      <c r="M51" s="193"/>
    </row>
    <row r="52" spans="1:13" s="198" customFormat="1">
      <c r="A52" s="220"/>
      <c r="B52" s="220"/>
      <c r="C52" s="220"/>
      <c r="D52" s="287"/>
      <c r="E52" s="219"/>
      <c r="F52" s="289"/>
      <c r="G52" s="290"/>
      <c r="I52" s="216"/>
      <c r="K52" s="391"/>
      <c r="L52" s="390"/>
      <c r="M52" s="193"/>
    </row>
    <row r="53" spans="1:13" s="198" customFormat="1">
      <c r="A53" s="220"/>
      <c r="B53" s="220"/>
      <c r="C53" s="220"/>
      <c r="D53" s="287"/>
      <c r="E53" s="219"/>
      <c r="F53" s="289"/>
      <c r="G53" s="290"/>
      <c r="I53" s="216"/>
      <c r="K53" s="389"/>
      <c r="L53" s="390"/>
      <c r="M53" s="193"/>
    </row>
    <row r="54" spans="1:13" s="198" customFormat="1" ht="15">
      <c r="A54" s="220"/>
      <c r="B54" s="220"/>
      <c r="C54" s="220"/>
      <c r="D54" s="351"/>
      <c r="E54" s="291" t="str">
        <f>'13. Соц. поносимост'!F27</f>
        <v>Управител:</v>
      </c>
      <c r="F54" s="218" t="s">
        <v>262</v>
      </c>
      <c r="G54" s="216"/>
      <c r="I54" s="216"/>
      <c r="K54" s="389"/>
      <c r="L54" s="390"/>
      <c r="M54" s="193"/>
    </row>
    <row r="55" spans="1:13" s="198" customFormat="1">
      <c r="A55" s="220"/>
      <c r="B55" s="220"/>
      <c r="C55" s="220"/>
      <c r="D55" s="287"/>
      <c r="E55" s="292"/>
      <c r="F55" s="289"/>
      <c r="G55" s="290" t="s">
        <v>6</v>
      </c>
      <c r="I55" s="289"/>
      <c r="K55" s="389"/>
      <c r="L55" s="390"/>
      <c r="M55" s="193"/>
    </row>
    <row r="56" spans="1:13" s="198" customFormat="1">
      <c r="A56" s="3655" t="s">
        <v>247</v>
      </c>
      <c r="B56" s="3655"/>
      <c r="C56" s="3655"/>
      <c r="D56" s="3655"/>
      <c r="E56" s="175"/>
      <c r="F56" s="175"/>
      <c r="G56" s="175"/>
      <c r="H56" s="175"/>
      <c r="K56" s="389"/>
      <c r="L56" s="390"/>
      <c r="M56" s="193"/>
    </row>
    <row r="57" spans="1:13" s="198" customFormat="1">
      <c r="A57" s="3656" t="s">
        <v>248</v>
      </c>
      <c r="B57" s="3656"/>
      <c r="C57" s="3656"/>
      <c r="D57" s="3656"/>
      <c r="E57" s="175"/>
      <c r="F57" s="175"/>
      <c r="G57" s="175"/>
      <c r="H57" s="175"/>
      <c r="K57" s="392"/>
      <c r="L57" s="193"/>
      <c r="M57" s="193"/>
    </row>
    <row r="58" spans="1:13">
      <c r="A58" s="3654" t="s">
        <v>1538</v>
      </c>
      <c r="B58" s="3654"/>
      <c r="C58" s="3654"/>
      <c r="G58" s="171"/>
      <c r="H58" s="171"/>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51181102362204722" right="0.31496062992125984" top="0.74803149606299213" bottom="0.55118110236220474"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M62"/>
  <sheetViews>
    <sheetView view="pageBreakPreview" zoomScaleNormal="100" zoomScaleSheetLayoutView="100" workbookViewId="0">
      <pane xSplit="8" ySplit="6" topLeftCell="I34" activePane="bottomRight" state="frozen"/>
      <selection pane="topRight" activeCell="I1" sqref="I1"/>
      <selection pane="bottomLeft" activeCell="A7" sqref="A7"/>
      <selection pane="bottomRight" activeCell="J16" sqref="J16"/>
    </sheetView>
  </sheetViews>
  <sheetFormatPr defaultRowHeight="12.75"/>
  <cols>
    <col min="1" max="1" width="58.140625" style="171" customWidth="1"/>
    <col min="2" max="6" width="9.7109375" style="171" customWidth="1"/>
    <col min="7" max="8" width="9.140625" style="182"/>
    <col min="9" max="16384" width="9.140625" style="132"/>
  </cols>
  <sheetData>
    <row r="1" spans="1:9" ht="13.5">
      <c r="G1" s="387"/>
      <c r="H1" s="51" t="str">
        <f>'14. ОПР'!H1</f>
        <v>Приложение № 5</v>
      </c>
    </row>
    <row r="2" spans="1:9" ht="38.25" customHeight="1">
      <c r="A2" s="3482" t="s">
        <v>1419</v>
      </c>
      <c r="B2" s="3482"/>
      <c r="C2" s="3482"/>
      <c r="D2" s="3482"/>
      <c r="E2" s="3482"/>
      <c r="F2" s="3482"/>
    </row>
    <row r="3" spans="1:9" ht="15.75">
      <c r="A3" s="3489" t="str">
        <f>'1. Анкетна карта'!A3:J3</f>
        <v>на "Водоснабдяване и канализация" ЕООД , гр. Благоевград</v>
      </c>
      <c r="B3" s="3489"/>
      <c r="C3" s="3489"/>
      <c r="D3" s="3489"/>
      <c r="E3" s="3489"/>
      <c r="F3" s="3489"/>
    </row>
    <row r="4" spans="1:9" ht="15.75">
      <c r="A4" s="3489" t="str">
        <f>'1. Анкетна карта'!A4:J4</f>
        <v>ЕИК по БУЛСТАТ: 811047831</v>
      </c>
      <c r="B4" s="3489"/>
      <c r="C4" s="3489"/>
      <c r="D4" s="3489"/>
      <c r="E4" s="3489"/>
      <c r="F4" s="3489"/>
    </row>
    <row r="5" spans="1:9" ht="13.5" thickBot="1">
      <c r="A5" s="189"/>
      <c r="B5" s="189"/>
      <c r="C5" s="189"/>
      <c r="D5" s="189"/>
      <c r="E5" s="189"/>
      <c r="F5" s="189"/>
    </row>
    <row r="6" spans="1:9" ht="13.5" thickBot="1">
      <c r="A6" s="2060" t="s">
        <v>681</v>
      </c>
      <c r="B6" s="2061" t="str">
        <f>'Приложение '!$G12</f>
        <v>2015 г.</v>
      </c>
      <c r="C6" s="2062" t="str">
        <f>'Приложение '!$G13</f>
        <v>2016 г.</v>
      </c>
      <c r="D6" s="2063" t="str">
        <f>'Приложение '!$G14</f>
        <v>2017 г.</v>
      </c>
      <c r="E6" s="2064" t="str">
        <f>'Приложение '!$G15</f>
        <v>2018 г.</v>
      </c>
      <c r="F6" s="2064" t="str">
        <f>'Приложение '!$G16</f>
        <v>2019 г.</v>
      </c>
      <c r="G6" s="2064" t="str">
        <f>'Приложение '!$G17</f>
        <v>2020 г.</v>
      </c>
      <c r="H6" s="2065" t="str">
        <f>'Приложение '!$G18</f>
        <v>2021 г.</v>
      </c>
    </row>
    <row r="7" spans="1:9" ht="14.25">
      <c r="A7" s="2054" t="s">
        <v>711</v>
      </c>
      <c r="B7" s="2055">
        <f t="shared" ref="B7:H7" si="0">B8+B15</f>
        <v>17066</v>
      </c>
      <c r="C7" s="2056">
        <f t="shared" si="0"/>
        <v>18125.599999999999</v>
      </c>
      <c r="D7" s="2057">
        <f t="shared" si="0"/>
        <v>19228.371742746302</v>
      </c>
      <c r="E7" s="2058">
        <f t="shared" si="0"/>
        <v>20467.804662546117</v>
      </c>
      <c r="F7" s="2058">
        <f t="shared" si="0"/>
        <v>22459.996520516528</v>
      </c>
      <c r="G7" s="2058">
        <f t="shared" si="0"/>
        <v>26528.417316745203</v>
      </c>
      <c r="H7" s="2059">
        <f t="shared" si="0"/>
        <v>26744.346114539909</v>
      </c>
      <c r="I7" s="184"/>
    </row>
    <row r="8" spans="1:9">
      <c r="A8" s="2028" t="s">
        <v>712</v>
      </c>
      <c r="B8" s="2049">
        <f t="shared" ref="B8:H8" si="1">SUM(B9:B14)</f>
        <v>13821</v>
      </c>
      <c r="C8" s="2043">
        <f t="shared" si="1"/>
        <v>14438</v>
      </c>
      <c r="D8" s="2024">
        <f t="shared" si="1"/>
        <v>15856.976452288585</v>
      </c>
      <c r="E8" s="1151">
        <f t="shared" si="1"/>
        <v>17056.503885455098</v>
      </c>
      <c r="F8" s="1151">
        <f t="shared" si="1"/>
        <v>18716.663767097107</v>
      </c>
      <c r="G8" s="1151">
        <f t="shared" si="1"/>
        <v>22107.014430621002</v>
      </c>
      <c r="H8" s="2018">
        <f t="shared" si="1"/>
        <v>22286.955095449925</v>
      </c>
    </row>
    <row r="9" spans="1:9">
      <c r="A9" s="2029" t="s">
        <v>1453</v>
      </c>
      <c r="B9" s="2169">
        <v>12931</v>
      </c>
      <c r="C9" s="2169">
        <v>13238</v>
      </c>
      <c r="D9" s="1420">
        <f>'16. Необходими приходи'!F11+'16. Необходими приходи'!M11+'16. Необходими приходи'!T11</f>
        <v>15056.976452288585</v>
      </c>
      <c r="E9" s="825">
        <f>'16. Необходими приходи'!G11+'16. Необходими приходи'!N11+'16. Необходими приходи'!U11</f>
        <v>16356.503885455098</v>
      </c>
      <c r="F9" s="825">
        <f>'16. Необходими приходи'!H11+'16. Необходими приходи'!O11+'16. Необходими приходи'!V11</f>
        <v>18016.663767097107</v>
      </c>
      <c r="G9" s="825">
        <f>'16. Необходими приходи'!I11+'16. Необходими приходи'!P11+'16. Необходими приходи'!W11</f>
        <v>21707.014430621002</v>
      </c>
      <c r="H9" s="823">
        <f>'16. Необходими приходи'!J11+'16. Необходими приходи'!Q11+'16. Необходими приходи'!X11</f>
        <v>21886.955095449925</v>
      </c>
    </row>
    <row r="10" spans="1:9">
      <c r="A10" s="2029" t="s">
        <v>1454</v>
      </c>
      <c r="B10" s="2169"/>
      <c r="C10" s="2169"/>
      <c r="D10" s="2166"/>
      <c r="E10" s="781"/>
      <c r="F10" s="781"/>
      <c r="G10" s="781"/>
      <c r="H10" s="2205"/>
    </row>
    <row r="11" spans="1:9" ht="14.25" customHeight="1">
      <c r="A11" s="2032" t="s">
        <v>713</v>
      </c>
      <c r="B11" s="2169">
        <v>460</v>
      </c>
      <c r="C11" s="2169">
        <v>750</v>
      </c>
      <c r="D11" s="2166">
        <v>400</v>
      </c>
      <c r="E11" s="781">
        <v>300</v>
      </c>
      <c r="F11" s="781">
        <v>300</v>
      </c>
      <c r="G11" s="781"/>
      <c r="H11" s="2205"/>
    </row>
    <row r="12" spans="1:9" ht="14.25" customHeight="1">
      <c r="A12" s="2032" t="s">
        <v>1451</v>
      </c>
      <c r="B12" s="2169">
        <v>430</v>
      </c>
      <c r="C12" s="2169">
        <v>450</v>
      </c>
      <c r="D12" s="2166">
        <v>400</v>
      </c>
      <c r="E12" s="781">
        <v>400</v>
      </c>
      <c r="F12" s="781">
        <v>400</v>
      </c>
      <c r="G12" s="781">
        <v>400</v>
      </c>
      <c r="H12" s="2205">
        <v>400</v>
      </c>
    </row>
    <row r="13" spans="1:9" ht="14.25" customHeight="1">
      <c r="A13" s="2033" t="s">
        <v>1449</v>
      </c>
      <c r="B13" s="2169"/>
      <c r="C13" s="2169"/>
      <c r="D13" s="2166"/>
      <c r="E13" s="781"/>
      <c r="F13" s="781"/>
      <c r="G13" s="781"/>
      <c r="H13" s="2205"/>
    </row>
    <row r="14" spans="1:9" ht="14.25" customHeight="1">
      <c r="A14" s="2033" t="s">
        <v>1450</v>
      </c>
      <c r="B14" s="2169"/>
      <c r="C14" s="2169"/>
      <c r="D14" s="2166"/>
      <c r="E14" s="781"/>
      <c r="F14" s="781"/>
      <c r="G14" s="781"/>
      <c r="H14" s="2205"/>
    </row>
    <row r="15" spans="1:9">
      <c r="A15" s="2034" t="s">
        <v>714</v>
      </c>
      <c r="B15" s="2049">
        <f>SUM(B16:B19)</f>
        <v>3245</v>
      </c>
      <c r="C15" s="2043">
        <f t="shared" ref="C15:H15" si="2">SUM(C16:C19)</f>
        <v>3687.6000000000004</v>
      </c>
      <c r="D15" s="2024">
        <f t="shared" si="2"/>
        <v>3371.3952904577172</v>
      </c>
      <c r="E15" s="1151">
        <f t="shared" si="2"/>
        <v>3411.3007770910199</v>
      </c>
      <c r="F15" s="1151">
        <f t="shared" si="2"/>
        <v>3743.3327534194214</v>
      </c>
      <c r="G15" s="1151">
        <f t="shared" si="2"/>
        <v>4421.4028861242004</v>
      </c>
      <c r="H15" s="2018">
        <f t="shared" si="2"/>
        <v>4457.3910190899851</v>
      </c>
    </row>
    <row r="16" spans="1:9">
      <c r="A16" s="2030" t="s">
        <v>715</v>
      </c>
      <c r="B16" s="2169">
        <v>6</v>
      </c>
      <c r="C16" s="2169"/>
      <c r="D16" s="2166"/>
      <c r="E16" s="781"/>
      <c r="F16" s="781"/>
      <c r="G16" s="781"/>
      <c r="H16" s="2205"/>
    </row>
    <row r="17" spans="1:9">
      <c r="A17" s="2030" t="s">
        <v>716</v>
      </c>
      <c r="B17" s="2995">
        <f>'10. Финансиране на ИП'!C15+'10. Финансиране на ИП'!C18+'10. Финансиране на ИП'!J15+'10. Финансиране на ИП'!J18+'10. Финансиране на ИП'!Q15+'10. Финансиране на ИП'!Q18</f>
        <v>0</v>
      </c>
      <c r="C17" s="2996">
        <f>'10. Финансиране на ИП'!D15+'10. Финансиране на ИП'!D18+'10. Финансиране на ИП'!K15+'10. Финансиране на ИП'!K18+'10. Финансиране на ИП'!R15+'10. Финансиране на ИП'!R18</f>
        <v>0</v>
      </c>
      <c r="D17" s="2997">
        <f>'10. Финансиране на ИП'!E15+'10. Финансиране на ИП'!E18+'10. Финансиране на ИП'!L15+'10. Финансиране на ИП'!L18+'10. Финансиране на ИП'!S15+'10. Финансиране на ИП'!S18</f>
        <v>0</v>
      </c>
      <c r="E17" s="2998">
        <f>'10. Финансиране на ИП'!F15+'10. Финансиране на ИП'!F18+'10. Финансиране на ИП'!M15+'10. Финансиране на ИП'!M18+'10. Финансиране на ИП'!T15+'10. Финансиране на ИП'!T18</f>
        <v>0</v>
      </c>
      <c r="F17" s="2998">
        <f>'10. Финансиране на ИП'!G15+'10. Финансиране на ИП'!G18+'10. Финансиране на ИП'!N15+'10. Финансиране на ИП'!N18+'10. Финансиране на ИП'!U15+'10. Финансиране на ИП'!U18</f>
        <v>0</v>
      </c>
      <c r="G17" s="2998">
        <f>'10. Финансиране на ИП'!H15+'10. Финансиране на ИП'!H18+'10. Финансиране на ИП'!O15+'10. Финансиране на ИП'!O18+'10. Финансиране на ИП'!V15+'10. Финансиране на ИП'!V18</f>
        <v>0</v>
      </c>
      <c r="H17" s="2999">
        <f>'10. Финансиране на ИП'!I15+'10. Финансиране на ИП'!I18+'10. Финансиране на ИП'!P15+'10. Финансиране на ИП'!P18+'10. Финансиране на ИП'!W15+'10. Финансиране на ИП'!W18</f>
        <v>0</v>
      </c>
    </row>
    <row r="18" spans="1:9">
      <c r="A18" s="2030" t="s">
        <v>717</v>
      </c>
      <c r="B18" s="2169">
        <v>475</v>
      </c>
      <c r="C18" s="2169">
        <v>800</v>
      </c>
      <c r="D18" s="2166">
        <v>200</v>
      </c>
      <c r="E18" s="781"/>
      <c r="F18" s="781"/>
      <c r="G18" s="781"/>
      <c r="H18" s="2205"/>
    </row>
    <row r="19" spans="1:9">
      <c r="A19" s="3003" t="s">
        <v>1559</v>
      </c>
      <c r="B19" s="2169">
        <v>2764</v>
      </c>
      <c r="C19" s="3004">
        <f t="shared" ref="C19:H19" si="3">SUM(C8-C10)*20%</f>
        <v>2887.6000000000004</v>
      </c>
      <c r="D19" s="3005">
        <f t="shared" si="3"/>
        <v>3171.3952904577172</v>
      </c>
      <c r="E19" s="3006">
        <f t="shared" si="3"/>
        <v>3411.3007770910199</v>
      </c>
      <c r="F19" s="3006">
        <f t="shared" si="3"/>
        <v>3743.3327534194214</v>
      </c>
      <c r="G19" s="3006">
        <f t="shared" si="3"/>
        <v>4421.4028861242004</v>
      </c>
      <c r="H19" s="3004">
        <f t="shared" si="3"/>
        <v>4457.3910190899851</v>
      </c>
    </row>
    <row r="20" spans="1:9" ht="14.25">
      <c r="A20" s="2035" t="s">
        <v>718</v>
      </c>
      <c r="B20" s="2048">
        <f t="shared" ref="B20:H20" si="4">B21+B34+B37</f>
        <v>-17228.2</v>
      </c>
      <c r="C20" s="2042">
        <f t="shared" si="4"/>
        <v>-18335.826999999997</v>
      </c>
      <c r="D20" s="2023">
        <f t="shared" si="4"/>
        <v>-18519.188590457718</v>
      </c>
      <c r="E20" s="1150">
        <f t="shared" si="4"/>
        <v>-19742.030722319876</v>
      </c>
      <c r="F20" s="1150">
        <f t="shared" si="4"/>
        <v>-21265.70394196493</v>
      </c>
      <c r="G20" s="1150">
        <f t="shared" si="4"/>
        <v>-25797.424862833912</v>
      </c>
      <c r="H20" s="2017">
        <f t="shared" si="4"/>
        <v>-25355.057962152085</v>
      </c>
      <c r="I20" s="184"/>
    </row>
    <row r="21" spans="1:9">
      <c r="A21" s="2028" t="s">
        <v>719</v>
      </c>
      <c r="B21" s="2049">
        <f t="shared" ref="B21:H21" si="5">SUM(B22:B33)</f>
        <v>-12079</v>
      </c>
      <c r="C21" s="2043">
        <f t="shared" si="5"/>
        <v>-12946.226999999999</v>
      </c>
      <c r="D21" s="2024">
        <f t="shared" si="5"/>
        <v>-13278.227000000001</v>
      </c>
      <c r="E21" s="1151">
        <f t="shared" si="5"/>
        <v>-13438.892</v>
      </c>
      <c r="F21" s="1151">
        <f t="shared" si="5"/>
        <v>-14373.999</v>
      </c>
      <c r="G21" s="1151">
        <f t="shared" si="5"/>
        <v>-17122.145</v>
      </c>
      <c r="H21" s="2018">
        <f t="shared" si="5"/>
        <v>-17263.905999999999</v>
      </c>
    </row>
    <row r="22" spans="1:9">
      <c r="A22" s="2030" t="s">
        <v>694</v>
      </c>
      <c r="B22" s="2169">
        <v>-1819</v>
      </c>
      <c r="C22" s="2044">
        <f>-'14. ОПР'!C24</f>
        <v>-1726.2270000000001</v>
      </c>
      <c r="D22" s="1420">
        <f>-'14. ОПР'!D24</f>
        <v>-1861.2270000000001</v>
      </c>
      <c r="E22" s="825">
        <f>-'14. ОПР'!E24</f>
        <v>-1823.3920000000001</v>
      </c>
      <c r="F22" s="825">
        <f>-'14. ОПР'!F24</f>
        <v>-2106.9989999999998</v>
      </c>
      <c r="G22" s="825">
        <f>-'14. ОПР'!G24</f>
        <v>-2817.145</v>
      </c>
      <c r="H22" s="823">
        <f>-'14. ОПР'!H24</f>
        <v>-2705.4059999999999</v>
      </c>
    </row>
    <row r="23" spans="1:9">
      <c r="A23" s="2030" t="s">
        <v>695</v>
      </c>
      <c r="B23" s="2169">
        <v>-1849</v>
      </c>
      <c r="C23" s="2044">
        <f>-'14. ОПР'!C25</f>
        <v>-1817</v>
      </c>
      <c r="D23" s="1420">
        <f>-'14. ОПР'!D25</f>
        <v>-1916.55</v>
      </c>
      <c r="E23" s="825">
        <f>-'14. ОПР'!E25</f>
        <v>-1920.49</v>
      </c>
      <c r="F23" s="825">
        <f>-'14. ОПР'!F25</f>
        <v>-1970</v>
      </c>
      <c r="G23" s="825">
        <f>-'14. ОПР'!G25</f>
        <v>-2267.6999999999998</v>
      </c>
      <c r="H23" s="823">
        <f>-'14. ОПР'!H25</f>
        <v>-2267.54</v>
      </c>
    </row>
    <row r="24" spans="1:9">
      <c r="A24" s="2030" t="s">
        <v>720</v>
      </c>
      <c r="B24" s="2169">
        <v>-5008</v>
      </c>
      <c r="C24" s="2044">
        <f>-'14. ОПР'!C26</f>
        <v>-5105</v>
      </c>
      <c r="D24" s="1420">
        <f>-'14. ОПР'!D26</f>
        <v>-5234.3</v>
      </c>
      <c r="E24" s="825">
        <f>-'14. ОПР'!E26</f>
        <v>-5388.45</v>
      </c>
      <c r="F24" s="825">
        <f>-'14. ОПР'!F26</f>
        <v>-5879</v>
      </c>
      <c r="G24" s="825">
        <f>-'14. ОПР'!G26</f>
        <v>-6943.3</v>
      </c>
      <c r="H24" s="823">
        <f>-'14. ОПР'!H26</f>
        <v>-7137.96</v>
      </c>
    </row>
    <row r="25" spans="1:9">
      <c r="A25" s="2030" t="s">
        <v>721</v>
      </c>
      <c r="B25" s="2169">
        <v>-2384</v>
      </c>
      <c r="C25" s="2044">
        <f>-'14. ОПР'!C27</f>
        <v>-2434</v>
      </c>
      <c r="D25" s="1420">
        <f>-'14. ОПР'!D27</f>
        <v>-2501.15</v>
      </c>
      <c r="E25" s="825">
        <f>-'14. ОПР'!E27</f>
        <v>-2563.56</v>
      </c>
      <c r="F25" s="825">
        <f>-'14. ОПР'!F27</f>
        <v>-2664</v>
      </c>
      <c r="G25" s="825">
        <f>-'14. ОПР'!G27</f>
        <v>-3162</v>
      </c>
      <c r="H25" s="823">
        <f>-'14. ОПР'!H27</f>
        <v>-3233</v>
      </c>
    </row>
    <row r="26" spans="1:9">
      <c r="A26" s="2030" t="s">
        <v>722</v>
      </c>
      <c r="B26" s="2169">
        <v>-468</v>
      </c>
      <c r="C26" s="2044">
        <f>-('12. Разходи'!D69+'12. Разходи'!K69+'12. Разходи'!R69)</f>
        <v>-428</v>
      </c>
      <c r="D26" s="1420">
        <f>-('12. Разходи'!E69+'12. Разходи'!L69+'12. Разходи'!S69)</f>
        <v>-538</v>
      </c>
      <c r="E26" s="825">
        <f>-('12. Разходи'!F69+'12. Разходи'!M69+'12. Разходи'!T69)</f>
        <v>-514</v>
      </c>
      <c r="F26" s="825">
        <f>-('12. Разходи'!G69+'12. Разходи'!N69+'12. Разходи'!U69)</f>
        <v>-513</v>
      </c>
      <c r="G26" s="825">
        <f>-('12. Разходи'!H69+'12. Разходи'!O69+'12. Разходи'!V69)</f>
        <v>-576</v>
      </c>
      <c r="H26" s="823">
        <f>-('12. Разходи'!I69+'12. Разходи'!P69+'12. Разходи'!W69)</f>
        <v>-562</v>
      </c>
    </row>
    <row r="27" spans="1:9">
      <c r="A27" s="2030" t="s">
        <v>723</v>
      </c>
      <c r="B27" s="2169">
        <v>-64</v>
      </c>
      <c r="C27" s="2044">
        <f>-('12. Разходи'!D70+'12. Разходи'!K70+'12. Разходи'!R70)</f>
        <v>-64</v>
      </c>
      <c r="D27" s="1420">
        <f>-('12. Разходи'!E70+'12. Разходи'!L70+'12. Разходи'!S70)</f>
        <v>-64</v>
      </c>
      <c r="E27" s="825">
        <f>-('12. Разходи'!F70+'12. Разходи'!M70+'12. Разходи'!T70)</f>
        <v>-64</v>
      </c>
      <c r="F27" s="825">
        <f>-('12. Разходи'!G70+'12. Разходи'!N70+'12. Разходи'!U70)</f>
        <v>-64</v>
      </c>
      <c r="G27" s="825">
        <f>-('12. Разходи'!H70+'12. Разходи'!O70+'12. Разходи'!V70)</f>
        <v>-64</v>
      </c>
      <c r="H27" s="823">
        <f>-('12. Разходи'!I70+'12. Разходи'!P70+'12. Разходи'!W70)</f>
        <v>-64</v>
      </c>
    </row>
    <row r="28" spans="1:9">
      <c r="A28" s="2032" t="s">
        <v>724</v>
      </c>
      <c r="B28" s="2169">
        <v>-52</v>
      </c>
      <c r="C28" s="2044">
        <f>-('12. Разходи'!D68+'12. Разходи'!K68+'12. Разходи'!R68)</f>
        <v>-54</v>
      </c>
      <c r="D28" s="1420">
        <f>-('12. Разходи'!E68+'12. Разходи'!L68+'12. Разходи'!S68)</f>
        <v>-54</v>
      </c>
      <c r="E28" s="825">
        <f>-('12. Разходи'!F68+'12. Разходи'!M68+'12. Разходи'!T68)</f>
        <v>-54</v>
      </c>
      <c r="F28" s="825">
        <f>-('12. Разходи'!G68+'12. Разходи'!N68+'12. Разходи'!U68)</f>
        <v>-56</v>
      </c>
      <c r="G28" s="825">
        <f>-('12. Разходи'!H68+'12. Разходи'!O68+'12. Разходи'!V68)</f>
        <v>-70</v>
      </c>
      <c r="H28" s="823">
        <f>-('12. Разходи'!I68+'12. Разходи'!P68+'12. Разходи'!W68)</f>
        <v>-70</v>
      </c>
    </row>
    <row r="29" spans="1:9">
      <c r="A29" s="2032" t="s">
        <v>725</v>
      </c>
      <c r="B29" s="2169">
        <v>-427</v>
      </c>
      <c r="C29" s="2044">
        <f>-'14. ОПР'!C31-'14. ОПР'!C32-SUM(C26:C28)</f>
        <v>-410</v>
      </c>
      <c r="D29" s="1420">
        <f>-'14. ОПР'!D31-'14. ОПР'!D32-SUM(D26:D28)</f>
        <v>-191</v>
      </c>
      <c r="E29" s="825">
        <f>-'14. ОПР'!E31-'14. ОПР'!E32-SUM(E26:E28)</f>
        <v>-191</v>
      </c>
      <c r="F29" s="825">
        <f>-'14. ОПР'!F31-'14. ОПР'!F32-SUM(F26:F28)</f>
        <v>-198</v>
      </c>
      <c r="G29" s="825">
        <f>-'14. ОПР'!G31-'14. ОПР'!G32-SUM(G26:G28)</f>
        <v>-297</v>
      </c>
      <c r="H29" s="823">
        <f>-'14. ОПР'!H31-'14. ОПР'!H32-SUM(H26:H28)</f>
        <v>-297</v>
      </c>
    </row>
    <row r="30" spans="1:9">
      <c r="A30" s="2032" t="s">
        <v>288</v>
      </c>
      <c r="B30" s="2169">
        <v>-8</v>
      </c>
      <c r="C30" s="2045">
        <f>-'14. ОПР'!C33</f>
        <v>-908</v>
      </c>
      <c r="D30" s="2025">
        <f>-'14. ОПР'!D33</f>
        <v>-918</v>
      </c>
      <c r="E30" s="1152">
        <f>-'14. ОПР'!E33</f>
        <v>-920</v>
      </c>
      <c r="F30" s="1152">
        <f>-'14. ОПР'!F33</f>
        <v>-923</v>
      </c>
      <c r="G30" s="1152">
        <f>-'14. ОПР'!G33</f>
        <v>-925</v>
      </c>
      <c r="H30" s="2019">
        <f>-'14. ОПР'!H33</f>
        <v>-927</v>
      </c>
    </row>
    <row r="31" spans="1:9">
      <c r="A31" s="2033" t="s">
        <v>1444</v>
      </c>
      <c r="B31" s="2169"/>
      <c r="C31" s="2169"/>
      <c r="D31" s="2166"/>
      <c r="E31" s="781"/>
      <c r="F31" s="781"/>
      <c r="G31" s="781"/>
      <c r="H31" s="2205"/>
    </row>
    <row r="32" spans="1:9">
      <c r="A32" s="2033" t="s">
        <v>1445</v>
      </c>
      <c r="B32" s="2169"/>
      <c r="C32" s="2045">
        <f>-'14. ОПР'!C35</f>
        <v>0</v>
      </c>
      <c r="D32" s="2025">
        <f>-'14. ОПР'!D35</f>
        <v>0</v>
      </c>
      <c r="E32" s="1152">
        <f>-'14. ОПР'!E35</f>
        <v>0</v>
      </c>
      <c r="F32" s="1152">
        <f>-'14. ОПР'!F35</f>
        <v>0</v>
      </c>
      <c r="G32" s="1152">
        <f>-'14. ОПР'!G35</f>
        <v>0</v>
      </c>
      <c r="H32" s="2019">
        <f>-'14. ОПР'!H35</f>
        <v>0</v>
      </c>
    </row>
    <row r="33" spans="1:9">
      <c r="A33" s="2033" t="s">
        <v>1446</v>
      </c>
      <c r="B33" s="2169"/>
      <c r="C33" s="2045">
        <f>-'14. ОПР'!C36</f>
        <v>0</v>
      </c>
      <c r="D33" s="2025">
        <f>-'14. ОПР'!D36</f>
        <v>0</v>
      </c>
      <c r="E33" s="1152">
        <f>-'14. ОПР'!E36</f>
        <v>0</v>
      </c>
      <c r="F33" s="1152">
        <f>-'14. ОПР'!F36</f>
        <v>0</v>
      </c>
      <c r="G33" s="1152">
        <f>-'14. ОПР'!G36</f>
        <v>0</v>
      </c>
      <c r="H33" s="2019">
        <f>-'14. ОПР'!H36</f>
        <v>0</v>
      </c>
    </row>
    <row r="34" spans="1:9">
      <c r="A34" s="2036" t="s">
        <v>726</v>
      </c>
      <c r="B34" s="2049">
        <f>SUM(B35:B36)</f>
        <v>-2318</v>
      </c>
      <c r="C34" s="2043">
        <f t="shared" ref="C34:H34" si="6">SUM(C35:C36)</f>
        <v>-2433</v>
      </c>
      <c r="D34" s="2024">
        <f t="shared" si="6"/>
        <v>-2343</v>
      </c>
      <c r="E34" s="1151">
        <f t="shared" si="6"/>
        <v>-2849</v>
      </c>
      <c r="F34" s="1151">
        <f t="shared" si="6"/>
        <v>-3085</v>
      </c>
      <c r="G34" s="1151">
        <f t="shared" si="6"/>
        <v>-4168</v>
      </c>
      <c r="H34" s="2018">
        <f t="shared" si="6"/>
        <v>-3514</v>
      </c>
    </row>
    <row r="35" spans="1:9">
      <c r="A35" s="2030" t="s">
        <v>409</v>
      </c>
      <c r="B35" s="2169">
        <v>-2318</v>
      </c>
      <c r="C35" s="2044">
        <f>-'9.Инвестиционна програма'!F68</f>
        <v>-2433</v>
      </c>
      <c r="D35" s="1420">
        <f>-'9.Инвестиционна програма'!G68</f>
        <v>-2343</v>
      </c>
      <c r="E35" s="825">
        <f>-'9.Инвестиционна програма'!H68</f>
        <v>-2849</v>
      </c>
      <c r="F35" s="825">
        <f>-'9.Инвестиционна програма'!I68</f>
        <v>-3085</v>
      </c>
      <c r="G35" s="825">
        <f>-'9.Инвестиционна програма'!J68</f>
        <v>-4168</v>
      </c>
      <c r="H35" s="823">
        <f>-'9.Инвестиционна програма'!K68</f>
        <v>-3514</v>
      </c>
    </row>
    <row r="36" spans="1:9">
      <c r="A36" s="2037" t="s">
        <v>727</v>
      </c>
      <c r="B36" s="2169"/>
      <c r="C36" s="2169"/>
      <c r="D36" s="2166"/>
      <c r="E36" s="781"/>
      <c r="F36" s="781"/>
      <c r="G36" s="781"/>
      <c r="H36" s="2205"/>
    </row>
    <row r="37" spans="1:9">
      <c r="A37" s="2036" t="s">
        <v>728</v>
      </c>
      <c r="B37" s="2049">
        <f t="shared" ref="B37:H37" si="7">SUM(B38:B44)</f>
        <v>-2831.2</v>
      </c>
      <c r="C37" s="2043">
        <f t="shared" si="7"/>
        <v>-2956.6000000000004</v>
      </c>
      <c r="D37" s="2024">
        <f t="shared" si="7"/>
        <v>-2897.9615904577172</v>
      </c>
      <c r="E37" s="1151">
        <f t="shared" si="7"/>
        <v>-3454.1387223198781</v>
      </c>
      <c r="F37" s="1151">
        <f t="shared" si="7"/>
        <v>-3806.7049419649311</v>
      </c>
      <c r="G37" s="1151">
        <f t="shared" si="7"/>
        <v>-4507.2798628339115</v>
      </c>
      <c r="H37" s="2018">
        <f t="shared" si="7"/>
        <v>-4577.1519621520856</v>
      </c>
    </row>
    <row r="38" spans="1:9">
      <c r="A38" s="2030" t="s">
        <v>729</v>
      </c>
      <c r="B38" s="2051">
        <f>-'14. ОПР'!B38</f>
        <v>0</v>
      </c>
      <c r="C38" s="2045">
        <f>-'14. ОПР'!C38</f>
        <v>0</v>
      </c>
      <c r="D38" s="2025">
        <f>-'14. ОПР'!D38</f>
        <v>0</v>
      </c>
      <c r="E38" s="1152">
        <f>-'14. ОПР'!E38</f>
        <v>0</v>
      </c>
      <c r="F38" s="1152">
        <f>-'14. ОПР'!F38</f>
        <v>0</v>
      </c>
      <c r="G38" s="1152">
        <f>-'14. ОПР'!G38</f>
        <v>0</v>
      </c>
      <c r="H38" s="2019">
        <f>-'14. ОПР'!H38</f>
        <v>0</v>
      </c>
    </row>
    <row r="39" spans="1:9">
      <c r="A39" s="2030" t="s">
        <v>730</v>
      </c>
      <c r="B39" s="2169"/>
      <c r="C39" s="2169"/>
      <c r="D39" s="2166"/>
      <c r="E39" s="781"/>
      <c r="F39" s="781"/>
      <c r="G39" s="781"/>
      <c r="H39" s="2205"/>
    </row>
    <row r="40" spans="1:9">
      <c r="A40" s="2037" t="s">
        <v>731</v>
      </c>
      <c r="B40" s="2169"/>
      <c r="C40" s="2169"/>
      <c r="D40" s="2166"/>
      <c r="E40" s="781"/>
      <c r="F40" s="781"/>
      <c r="G40" s="781"/>
      <c r="H40" s="2205"/>
    </row>
    <row r="41" spans="1:9">
      <c r="A41" s="2037" t="s">
        <v>732</v>
      </c>
      <c r="B41" s="2169">
        <v>-67</v>
      </c>
      <c r="C41" s="2044">
        <f>-'14. ОПР'!B44</f>
        <v>-69</v>
      </c>
      <c r="D41" s="1420">
        <f>-'14. ОПР'!C44</f>
        <v>273.43369999999999</v>
      </c>
      <c r="E41" s="825">
        <f>-'14. ОПР'!D44</f>
        <v>-42.837945228858374</v>
      </c>
      <c r="F41" s="825">
        <f>-'14. ОПР'!E44</f>
        <v>-63.372188545509928</v>
      </c>
      <c r="G41" s="825">
        <f>-'14. ОПР'!F44</f>
        <v>-85.876976709710661</v>
      </c>
      <c r="H41" s="823">
        <f>-'14. ОПР'!G44</f>
        <v>-119.76094306210035</v>
      </c>
    </row>
    <row r="42" spans="1:9">
      <c r="A42" s="3007" t="s">
        <v>1560</v>
      </c>
      <c r="B42" s="2169">
        <f t="shared" ref="B42:H42" si="8">SUM(B22+B23+B29+B30+B32+B33+B35)*20%</f>
        <v>-1284.2</v>
      </c>
      <c r="C42" s="3008">
        <f t="shared" si="8"/>
        <v>-1458.8454000000002</v>
      </c>
      <c r="D42" s="3009">
        <f t="shared" si="8"/>
        <v>-1445.9554000000001</v>
      </c>
      <c r="E42" s="3010">
        <f t="shared" si="8"/>
        <v>-1540.7764</v>
      </c>
      <c r="F42" s="3010">
        <f t="shared" si="8"/>
        <v>-1656.5998</v>
      </c>
      <c r="G42" s="3010">
        <f t="shared" si="8"/>
        <v>-2094.9690000000001</v>
      </c>
      <c r="H42" s="3011">
        <f t="shared" si="8"/>
        <v>-1942.1892</v>
      </c>
    </row>
    <row r="43" spans="1:9">
      <c r="A43" s="2037" t="s">
        <v>733</v>
      </c>
      <c r="B43" s="2169">
        <v>-1480</v>
      </c>
      <c r="C43" s="2996">
        <f t="shared" ref="C43:H43" si="9">-20%*(C9+C11+C12+C13+C14)-20%*(C22+C23+C29+C30+C32+C33+C35)</f>
        <v>-1428.7546000000002</v>
      </c>
      <c r="D43" s="2997">
        <f t="shared" si="9"/>
        <v>-1725.4398904577172</v>
      </c>
      <c r="E43" s="2998">
        <f t="shared" si="9"/>
        <v>-1870.5243770910199</v>
      </c>
      <c r="F43" s="2998">
        <f t="shared" si="9"/>
        <v>-2086.7329534194214</v>
      </c>
      <c r="G43" s="2998">
        <f t="shared" si="9"/>
        <v>-2326.4338861242004</v>
      </c>
      <c r="H43" s="2999">
        <f t="shared" si="9"/>
        <v>-2515.2018190899853</v>
      </c>
    </row>
    <row r="44" spans="1:9">
      <c r="A44" s="2037" t="s">
        <v>734</v>
      </c>
      <c r="B44" s="2169"/>
      <c r="C44" s="2169"/>
      <c r="D44" s="2166"/>
      <c r="E44" s="781"/>
      <c r="F44" s="781"/>
      <c r="G44" s="781"/>
      <c r="H44" s="2205"/>
    </row>
    <row r="45" spans="1:9" ht="14.25">
      <c r="A45" s="2071" t="s">
        <v>735</v>
      </c>
      <c r="B45" s="2048">
        <f t="shared" ref="B45:H45" si="10">B8+B21</f>
        <v>1742</v>
      </c>
      <c r="C45" s="2042">
        <f t="shared" si="10"/>
        <v>1491.773000000001</v>
      </c>
      <c r="D45" s="2023">
        <f t="shared" si="10"/>
        <v>2578.7494522885845</v>
      </c>
      <c r="E45" s="1150">
        <f t="shared" si="10"/>
        <v>3617.6118854550987</v>
      </c>
      <c r="F45" s="1150">
        <f t="shared" si="10"/>
        <v>4342.664767097107</v>
      </c>
      <c r="G45" s="1150">
        <f t="shared" si="10"/>
        <v>4984.8694306210018</v>
      </c>
      <c r="H45" s="2017">
        <f t="shared" si="10"/>
        <v>5023.0490954499255</v>
      </c>
      <c r="I45" s="184"/>
    </row>
    <row r="46" spans="1:9" ht="14.25">
      <c r="A46" s="2071" t="s">
        <v>736</v>
      </c>
      <c r="B46" s="2048">
        <f>B45+B34</f>
        <v>-576</v>
      </c>
      <c r="C46" s="2042">
        <f t="shared" ref="C46:H46" si="11">C45+C34</f>
        <v>-941.22699999999895</v>
      </c>
      <c r="D46" s="2023">
        <f t="shared" si="11"/>
        <v>235.74945228858451</v>
      </c>
      <c r="E46" s="1150">
        <f t="shared" si="11"/>
        <v>768.61188545509867</v>
      </c>
      <c r="F46" s="1150">
        <f t="shared" si="11"/>
        <v>1257.664767097107</v>
      </c>
      <c r="G46" s="1150">
        <f t="shared" si="11"/>
        <v>816.86943062100181</v>
      </c>
      <c r="H46" s="2017">
        <f t="shared" si="11"/>
        <v>1509.0490954499255</v>
      </c>
      <c r="I46" s="184"/>
    </row>
    <row r="47" spans="1:9" ht="14.25">
      <c r="A47" s="2071" t="s">
        <v>737</v>
      </c>
      <c r="B47" s="2048">
        <f>B46+(B15+B37)</f>
        <v>-162.19999999999982</v>
      </c>
      <c r="C47" s="2042">
        <f t="shared" ref="C47:H47" si="12">C46+(C15+C37)</f>
        <v>-210.22699999999895</v>
      </c>
      <c r="D47" s="2023">
        <f t="shared" si="12"/>
        <v>709.18315228858455</v>
      </c>
      <c r="E47" s="1150">
        <f t="shared" si="12"/>
        <v>725.77394022624048</v>
      </c>
      <c r="F47" s="1150">
        <f t="shared" si="12"/>
        <v>1194.2925785515972</v>
      </c>
      <c r="G47" s="1150">
        <f t="shared" si="12"/>
        <v>730.9924539112908</v>
      </c>
      <c r="H47" s="2017">
        <f t="shared" si="12"/>
        <v>1389.288152387825</v>
      </c>
      <c r="I47" s="184"/>
    </row>
    <row r="48" spans="1:9">
      <c r="A48" s="2072" t="s">
        <v>738</v>
      </c>
      <c r="B48" s="2169">
        <v>670</v>
      </c>
      <c r="C48" s="2074">
        <f t="shared" ref="C48:H48" si="13">B49</f>
        <v>507.80000000000018</v>
      </c>
      <c r="D48" s="2069">
        <f t="shared" si="13"/>
        <v>297.57300000000123</v>
      </c>
      <c r="E48" s="1154">
        <f t="shared" si="13"/>
        <v>1006.7561522885858</v>
      </c>
      <c r="F48" s="1154">
        <f t="shared" si="13"/>
        <v>1732.5300925148263</v>
      </c>
      <c r="G48" s="1154">
        <f t="shared" si="13"/>
        <v>2926.8226710664235</v>
      </c>
      <c r="H48" s="2066">
        <f t="shared" si="13"/>
        <v>3657.8151249777143</v>
      </c>
    </row>
    <row r="49" spans="1:13" ht="13.5" thickBot="1">
      <c r="A49" s="2073" t="s">
        <v>739</v>
      </c>
      <c r="B49" s="2076">
        <f t="shared" ref="B49:H49" si="14">SUM(B47:B48)</f>
        <v>507.80000000000018</v>
      </c>
      <c r="C49" s="2075">
        <f t="shared" si="14"/>
        <v>297.57300000000123</v>
      </c>
      <c r="D49" s="2070">
        <f t="shared" si="14"/>
        <v>1006.7561522885858</v>
      </c>
      <c r="E49" s="2067">
        <f t="shared" si="14"/>
        <v>1732.5300925148263</v>
      </c>
      <c r="F49" s="2067">
        <f t="shared" si="14"/>
        <v>2926.8226710664235</v>
      </c>
      <c r="G49" s="2067">
        <f t="shared" si="14"/>
        <v>3657.8151249777143</v>
      </c>
      <c r="H49" s="2068">
        <f t="shared" si="14"/>
        <v>5047.1032773655388</v>
      </c>
    </row>
    <row r="50" spans="1:13">
      <c r="A50" s="190"/>
      <c r="B50" s="190"/>
      <c r="C50" s="191"/>
      <c r="D50" s="192"/>
      <c r="E50" s="192"/>
      <c r="F50" s="192"/>
    </row>
    <row r="52" spans="1:13" s="198" customFormat="1">
      <c r="A52" s="193"/>
      <c r="B52" s="193"/>
      <c r="C52" s="193"/>
      <c r="D52" s="291" t="str">
        <f>'14. ОПР'!D49</f>
        <v>Главен счетоводител:</v>
      </c>
      <c r="E52" s="288"/>
      <c r="F52" s="218" t="s">
        <v>262</v>
      </c>
      <c r="I52" s="216"/>
      <c r="K52" s="389"/>
      <c r="L52" s="390"/>
      <c r="M52" s="193"/>
    </row>
    <row r="53" spans="1:13" s="198" customFormat="1">
      <c r="A53" s="213" t="str">
        <f>'14. ОПР'!A50</f>
        <v>Дата: 27.08.2018 г.</v>
      </c>
      <c r="B53" s="220"/>
      <c r="C53" s="220"/>
      <c r="D53" s="287"/>
      <c r="E53" s="219"/>
      <c r="F53" s="289"/>
      <c r="G53" s="290" t="s">
        <v>5</v>
      </c>
      <c r="I53" s="216"/>
      <c r="K53" s="389"/>
      <c r="L53" s="390"/>
      <c r="M53" s="193"/>
    </row>
    <row r="54" spans="1:13" s="198" customFormat="1">
      <c r="A54" s="211"/>
      <c r="B54" s="211"/>
      <c r="C54" s="211"/>
      <c r="D54" s="287"/>
      <c r="E54" s="219"/>
      <c r="F54" s="289"/>
      <c r="G54" s="290"/>
      <c r="I54" s="216"/>
      <c r="K54" s="391"/>
      <c r="L54" s="390"/>
      <c r="M54" s="193"/>
    </row>
    <row r="55" spans="1:13" s="198" customFormat="1">
      <c r="A55" s="220"/>
      <c r="B55" s="220"/>
      <c r="C55" s="220"/>
      <c r="D55" s="287"/>
      <c r="E55" s="219"/>
      <c r="F55" s="289"/>
      <c r="G55" s="290"/>
      <c r="I55" s="216"/>
      <c r="K55" s="391"/>
      <c r="L55" s="390"/>
      <c r="M55" s="193"/>
    </row>
    <row r="56" spans="1:13" s="198" customFormat="1">
      <c r="A56" s="220"/>
      <c r="B56" s="220"/>
      <c r="C56" s="220"/>
      <c r="D56" s="287"/>
      <c r="E56" s="219"/>
      <c r="F56" s="289"/>
      <c r="G56" s="290"/>
      <c r="I56" s="216"/>
      <c r="K56" s="389"/>
      <c r="L56" s="390"/>
      <c r="M56" s="193"/>
    </row>
    <row r="57" spans="1:13" s="198" customFormat="1" ht="15">
      <c r="A57" s="220"/>
      <c r="B57" s="220"/>
      <c r="C57" s="220"/>
      <c r="D57" s="351"/>
      <c r="E57" s="291" t="str">
        <f>'14. ОПР'!E54</f>
        <v>Управител:</v>
      </c>
      <c r="F57" s="218" t="s">
        <v>262</v>
      </c>
      <c r="G57" s="216"/>
      <c r="I57" s="216"/>
      <c r="K57" s="389"/>
      <c r="L57" s="390"/>
      <c r="M57" s="193"/>
    </row>
    <row r="58" spans="1:13" s="198" customFormat="1">
      <c r="A58" s="220"/>
      <c r="B58" s="220"/>
      <c r="C58" s="220"/>
      <c r="D58" s="287"/>
      <c r="E58" s="292"/>
      <c r="F58" s="289"/>
      <c r="G58" s="290" t="s">
        <v>6</v>
      </c>
      <c r="I58" s="289"/>
      <c r="K58" s="389"/>
      <c r="L58" s="390"/>
      <c r="M58" s="193"/>
    </row>
    <row r="59" spans="1:13" s="198" customFormat="1">
      <c r="A59" s="3655" t="s">
        <v>247</v>
      </c>
      <c r="B59" s="3655"/>
      <c r="C59" s="3655"/>
      <c r="D59" s="3655"/>
      <c r="E59" s="175"/>
      <c r="F59" s="175"/>
      <c r="G59" s="175"/>
      <c r="H59" s="175"/>
      <c r="K59" s="389"/>
      <c r="L59" s="390"/>
      <c r="M59" s="193"/>
    </row>
    <row r="60" spans="1:13" s="198" customFormat="1">
      <c r="A60" s="3499" t="s">
        <v>248</v>
      </c>
      <c r="B60" s="3499"/>
      <c r="C60" s="3499"/>
      <c r="D60" s="3499"/>
      <c r="E60" s="175"/>
      <c r="F60" s="175"/>
      <c r="G60" s="175"/>
      <c r="H60" s="175"/>
      <c r="K60" s="392"/>
      <c r="L60" s="193"/>
      <c r="M60" s="193"/>
    </row>
    <row r="61" spans="1:13">
      <c r="A61" s="3657" t="s">
        <v>974</v>
      </c>
      <c r="B61" s="3657"/>
      <c r="C61" s="3657"/>
      <c r="D61" s="3657"/>
    </row>
    <row r="62" spans="1:13">
      <c r="A62" s="3654" t="s">
        <v>1539</v>
      </c>
      <c r="B62" s="3654"/>
      <c r="C62" s="3654"/>
    </row>
  </sheetData>
  <sheetProtection password="C6DB" sheet="1" objects="1" scenarios="1" formatCells="0" formatColumns="0" formatRows="0"/>
  <mergeCells count="7">
    <mergeCell ref="A62:C62"/>
    <mergeCell ref="A61:D61"/>
    <mergeCell ref="A59:D59"/>
    <mergeCell ref="A60:D60"/>
    <mergeCell ref="A2:F2"/>
    <mergeCell ref="A3:F3"/>
    <mergeCell ref="A4:F4"/>
  </mergeCells>
  <printOptions horizontalCentered="1"/>
  <pageMargins left="0.51181102362204722" right="0.31496062992125984" top="0.74803149606299213" bottom="0.55118110236220474" header="0.31496062992125984" footer="0.31496062992125984"/>
  <pageSetup paperSize="9" scale="75" orientation="portrait" verticalDpi="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62"/>
  <sheetViews>
    <sheetView view="pageBreakPreview" zoomScaleNormal="90" zoomScaleSheetLayoutView="100" workbookViewId="0">
      <selection activeCell="G47" sqref="G47:J47"/>
    </sheetView>
  </sheetViews>
  <sheetFormatPr defaultRowHeight="12.75"/>
  <cols>
    <col min="1" max="1" width="5.42578125" style="198" customWidth="1"/>
    <col min="2" max="2" width="7.7109375" style="198" customWidth="1"/>
    <col min="3" max="4" width="6.140625" style="198" customWidth="1"/>
    <col min="5" max="5" width="6.42578125" style="198" customWidth="1"/>
    <col min="6" max="6" width="6.85546875" style="198" customWidth="1"/>
    <col min="7" max="7" width="12.5703125" style="198" customWidth="1"/>
    <col min="8" max="8" width="12" style="198" customWidth="1"/>
    <col min="9" max="9" width="12.140625" style="198" customWidth="1"/>
    <col min="10" max="10" width="14.28515625" style="198" customWidth="1"/>
    <col min="11" max="256" width="9.140625" style="198"/>
    <col min="257" max="257" width="5.42578125" style="198" customWidth="1"/>
    <col min="258" max="258" width="7.7109375" style="198" customWidth="1"/>
    <col min="259" max="260" width="6.140625" style="198" customWidth="1"/>
    <col min="261" max="261" width="6.42578125" style="198" customWidth="1"/>
    <col min="262" max="262" width="6.85546875" style="198" customWidth="1"/>
    <col min="263" max="263" width="12.5703125" style="198" customWidth="1"/>
    <col min="264" max="264" width="12" style="198" customWidth="1"/>
    <col min="265" max="265" width="12.140625" style="198" customWidth="1"/>
    <col min="266" max="266" width="14.28515625" style="198" customWidth="1"/>
    <col min="267" max="512" width="9.140625" style="198"/>
    <col min="513" max="513" width="5.42578125" style="198" customWidth="1"/>
    <col min="514" max="514" width="7.7109375" style="198" customWidth="1"/>
    <col min="515" max="516" width="6.140625" style="198" customWidth="1"/>
    <col min="517" max="517" width="6.42578125" style="198" customWidth="1"/>
    <col min="518" max="518" width="6.85546875" style="198" customWidth="1"/>
    <col min="519" max="519" width="12.5703125" style="198" customWidth="1"/>
    <col min="520" max="520" width="12" style="198" customWidth="1"/>
    <col min="521" max="521" width="12.140625" style="198" customWidth="1"/>
    <col min="522" max="522" width="14.28515625" style="198" customWidth="1"/>
    <col min="523" max="768" width="9.140625" style="198"/>
    <col min="769" max="769" width="5.42578125" style="198" customWidth="1"/>
    <col min="770" max="770" width="7.7109375" style="198" customWidth="1"/>
    <col min="771" max="772" width="6.140625" style="198" customWidth="1"/>
    <col min="773" max="773" width="6.42578125" style="198" customWidth="1"/>
    <col min="774" max="774" width="6.85546875" style="198" customWidth="1"/>
    <col min="775" max="775" width="12.5703125" style="198" customWidth="1"/>
    <col min="776" max="776" width="12" style="198" customWidth="1"/>
    <col min="777" max="777" width="12.140625" style="198" customWidth="1"/>
    <col min="778" max="778" width="14.28515625" style="198" customWidth="1"/>
    <col min="779" max="1024" width="9.140625" style="198"/>
    <col min="1025" max="1025" width="5.42578125" style="198" customWidth="1"/>
    <col min="1026" max="1026" width="7.7109375" style="198" customWidth="1"/>
    <col min="1027" max="1028" width="6.140625" style="198" customWidth="1"/>
    <col min="1029" max="1029" width="6.42578125" style="198" customWidth="1"/>
    <col min="1030" max="1030" width="6.85546875" style="198" customWidth="1"/>
    <col min="1031" max="1031" width="12.5703125" style="198" customWidth="1"/>
    <col min="1032" max="1032" width="12" style="198" customWidth="1"/>
    <col min="1033" max="1033" width="12.140625" style="198" customWidth="1"/>
    <col min="1034" max="1034" width="14.28515625" style="198" customWidth="1"/>
    <col min="1035" max="1280" width="9.140625" style="198"/>
    <col min="1281" max="1281" width="5.42578125" style="198" customWidth="1"/>
    <col min="1282" max="1282" width="7.7109375" style="198" customWidth="1"/>
    <col min="1283" max="1284" width="6.140625" style="198" customWidth="1"/>
    <col min="1285" max="1285" width="6.42578125" style="198" customWidth="1"/>
    <col min="1286" max="1286" width="6.85546875" style="198" customWidth="1"/>
    <col min="1287" max="1287" width="12.5703125" style="198" customWidth="1"/>
    <col min="1288" max="1288" width="12" style="198" customWidth="1"/>
    <col min="1289" max="1289" width="12.140625" style="198" customWidth="1"/>
    <col min="1290" max="1290" width="14.28515625" style="198" customWidth="1"/>
    <col min="1291" max="1536" width="9.140625" style="198"/>
    <col min="1537" max="1537" width="5.42578125" style="198" customWidth="1"/>
    <col min="1538" max="1538" width="7.7109375" style="198" customWidth="1"/>
    <col min="1539" max="1540" width="6.140625" style="198" customWidth="1"/>
    <col min="1541" max="1541" width="6.42578125" style="198" customWidth="1"/>
    <col min="1542" max="1542" width="6.85546875" style="198" customWidth="1"/>
    <col min="1543" max="1543" width="12.5703125" style="198" customWidth="1"/>
    <col min="1544" max="1544" width="12" style="198" customWidth="1"/>
    <col min="1545" max="1545" width="12.140625" style="198" customWidth="1"/>
    <col min="1546" max="1546" width="14.28515625" style="198" customWidth="1"/>
    <col min="1547" max="1792" width="9.140625" style="198"/>
    <col min="1793" max="1793" width="5.42578125" style="198" customWidth="1"/>
    <col min="1794" max="1794" width="7.7109375" style="198" customWidth="1"/>
    <col min="1795" max="1796" width="6.140625" style="198" customWidth="1"/>
    <col min="1797" max="1797" width="6.42578125" style="198" customWidth="1"/>
    <col min="1798" max="1798" width="6.85546875" style="198" customWidth="1"/>
    <col min="1799" max="1799" width="12.5703125" style="198" customWidth="1"/>
    <col min="1800" max="1800" width="12" style="198" customWidth="1"/>
    <col min="1801" max="1801" width="12.140625" style="198" customWidth="1"/>
    <col min="1802" max="1802" width="14.28515625" style="198" customWidth="1"/>
    <col min="1803" max="2048" width="9.140625" style="198"/>
    <col min="2049" max="2049" width="5.42578125" style="198" customWidth="1"/>
    <col min="2050" max="2050" width="7.7109375" style="198" customWidth="1"/>
    <col min="2051" max="2052" width="6.140625" style="198" customWidth="1"/>
    <col min="2053" max="2053" width="6.42578125" style="198" customWidth="1"/>
    <col min="2054" max="2054" width="6.85546875" style="198" customWidth="1"/>
    <col min="2055" max="2055" width="12.5703125" style="198" customWidth="1"/>
    <col min="2056" max="2056" width="12" style="198" customWidth="1"/>
    <col min="2057" max="2057" width="12.140625" style="198" customWidth="1"/>
    <col min="2058" max="2058" width="14.28515625" style="198" customWidth="1"/>
    <col min="2059" max="2304" width="9.140625" style="198"/>
    <col min="2305" max="2305" width="5.42578125" style="198" customWidth="1"/>
    <col min="2306" max="2306" width="7.7109375" style="198" customWidth="1"/>
    <col min="2307" max="2308" width="6.140625" style="198" customWidth="1"/>
    <col min="2309" max="2309" width="6.42578125" style="198" customWidth="1"/>
    <col min="2310" max="2310" width="6.85546875" style="198" customWidth="1"/>
    <col min="2311" max="2311" width="12.5703125" style="198" customWidth="1"/>
    <col min="2312" max="2312" width="12" style="198" customWidth="1"/>
    <col min="2313" max="2313" width="12.140625" style="198" customWidth="1"/>
    <col min="2314" max="2314" width="14.28515625" style="198" customWidth="1"/>
    <col min="2315" max="2560" width="9.140625" style="198"/>
    <col min="2561" max="2561" width="5.42578125" style="198" customWidth="1"/>
    <col min="2562" max="2562" width="7.7109375" style="198" customWidth="1"/>
    <col min="2563" max="2564" width="6.140625" style="198" customWidth="1"/>
    <col min="2565" max="2565" width="6.42578125" style="198" customWidth="1"/>
    <col min="2566" max="2566" width="6.85546875" style="198" customWidth="1"/>
    <col min="2567" max="2567" width="12.5703125" style="198" customWidth="1"/>
    <col min="2568" max="2568" width="12" style="198" customWidth="1"/>
    <col min="2569" max="2569" width="12.140625" style="198" customWidth="1"/>
    <col min="2570" max="2570" width="14.28515625" style="198" customWidth="1"/>
    <col min="2571" max="2816" width="9.140625" style="198"/>
    <col min="2817" max="2817" width="5.42578125" style="198" customWidth="1"/>
    <col min="2818" max="2818" width="7.7109375" style="198" customWidth="1"/>
    <col min="2819" max="2820" width="6.140625" style="198" customWidth="1"/>
    <col min="2821" max="2821" width="6.42578125" style="198" customWidth="1"/>
    <col min="2822" max="2822" width="6.85546875" style="198" customWidth="1"/>
    <col min="2823" max="2823" width="12.5703125" style="198" customWidth="1"/>
    <col min="2824" max="2824" width="12" style="198" customWidth="1"/>
    <col min="2825" max="2825" width="12.140625" style="198" customWidth="1"/>
    <col min="2826" max="2826" width="14.28515625" style="198" customWidth="1"/>
    <col min="2827" max="3072" width="9.140625" style="198"/>
    <col min="3073" max="3073" width="5.42578125" style="198" customWidth="1"/>
    <col min="3074" max="3074" width="7.7109375" style="198" customWidth="1"/>
    <col min="3075" max="3076" width="6.140625" style="198" customWidth="1"/>
    <col min="3077" max="3077" width="6.42578125" style="198" customWidth="1"/>
    <col min="3078" max="3078" width="6.85546875" style="198" customWidth="1"/>
    <col min="3079" max="3079" width="12.5703125" style="198" customWidth="1"/>
    <col min="3080" max="3080" width="12" style="198" customWidth="1"/>
    <col min="3081" max="3081" width="12.140625" style="198" customWidth="1"/>
    <col min="3082" max="3082" width="14.28515625" style="198" customWidth="1"/>
    <col min="3083" max="3328" width="9.140625" style="198"/>
    <col min="3329" max="3329" width="5.42578125" style="198" customWidth="1"/>
    <col min="3330" max="3330" width="7.7109375" style="198" customWidth="1"/>
    <col min="3331" max="3332" width="6.140625" style="198" customWidth="1"/>
    <col min="3333" max="3333" width="6.42578125" style="198" customWidth="1"/>
    <col min="3334" max="3334" width="6.85546875" style="198" customWidth="1"/>
    <col min="3335" max="3335" width="12.5703125" style="198" customWidth="1"/>
    <col min="3336" max="3336" width="12" style="198" customWidth="1"/>
    <col min="3337" max="3337" width="12.140625" style="198" customWidth="1"/>
    <col min="3338" max="3338" width="14.28515625" style="198" customWidth="1"/>
    <col min="3339" max="3584" width="9.140625" style="198"/>
    <col min="3585" max="3585" width="5.42578125" style="198" customWidth="1"/>
    <col min="3586" max="3586" width="7.7109375" style="198" customWidth="1"/>
    <col min="3587" max="3588" width="6.140625" style="198" customWidth="1"/>
    <col min="3589" max="3589" width="6.42578125" style="198" customWidth="1"/>
    <col min="3590" max="3590" width="6.85546875" style="198" customWidth="1"/>
    <col min="3591" max="3591" width="12.5703125" style="198" customWidth="1"/>
    <col min="3592" max="3592" width="12" style="198" customWidth="1"/>
    <col min="3593" max="3593" width="12.140625" style="198" customWidth="1"/>
    <col min="3594" max="3594" width="14.28515625" style="198" customWidth="1"/>
    <col min="3595" max="3840" width="9.140625" style="198"/>
    <col min="3841" max="3841" width="5.42578125" style="198" customWidth="1"/>
    <col min="3842" max="3842" width="7.7109375" style="198" customWidth="1"/>
    <col min="3843" max="3844" width="6.140625" style="198" customWidth="1"/>
    <col min="3845" max="3845" width="6.42578125" style="198" customWidth="1"/>
    <col min="3846" max="3846" width="6.85546875" style="198" customWidth="1"/>
    <col min="3847" max="3847" width="12.5703125" style="198" customWidth="1"/>
    <col min="3848" max="3848" width="12" style="198" customWidth="1"/>
    <col min="3849" max="3849" width="12.140625" style="198" customWidth="1"/>
    <col min="3850" max="3850" width="14.28515625" style="198" customWidth="1"/>
    <col min="3851" max="4096" width="9.140625" style="198"/>
    <col min="4097" max="4097" width="5.42578125" style="198" customWidth="1"/>
    <col min="4098" max="4098" width="7.7109375" style="198" customWidth="1"/>
    <col min="4099" max="4100" width="6.140625" style="198" customWidth="1"/>
    <col min="4101" max="4101" width="6.42578125" style="198" customWidth="1"/>
    <col min="4102" max="4102" width="6.85546875" style="198" customWidth="1"/>
    <col min="4103" max="4103" width="12.5703125" style="198" customWidth="1"/>
    <col min="4104" max="4104" width="12" style="198" customWidth="1"/>
    <col min="4105" max="4105" width="12.140625" style="198" customWidth="1"/>
    <col min="4106" max="4106" width="14.28515625" style="198" customWidth="1"/>
    <col min="4107" max="4352" width="9.140625" style="198"/>
    <col min="4353" max="4353" width="5.42578125" style="198" customWidth="1"/>
    <col min="4354" max="4354" width="7.7109375" style="198" customWidth="1"/>
    <col min="4355" max="4356" width="6.140625" style="198" customWidth="1"/>
    <col min="4357" max="4357" width="6.42578125" style="198" customWidth="1"/>
    <col min="4358" max="4358" width="6.85546875" style="198" customWidth="1"/>
    <col min="4359" max="4359" width="12.5703125" style="198" customWidth="1"/>
    <col min="4360" max="4360" width="12" style="198" customWidth="1"/>
    <col min="4361" max="4361" width="12.140625" style="198" customWidth="1"/>
    <col min="4362" max="4362" width="14.28515625" style="198" customWidth="1"/>
    <col min="4363" max="4608" width="9.140625" style="198"/>
    <col min="4609" max="4609" width="5.42578125" style="198" customWidth="1"/>
    <col min="4610" max="4610" width="7.7109375" style="198" customWidth="1"/>
    <col min="4611" max="4612" width="6.140625" style="198" customWidth="1"/>
    <col min="4613" max="4613" width="6.42578125" style="198" customWidth="1"/>
    <col min="4614" max="4614" width="6.85546875" style="198" customWidth="1"/>
    <col min="4615" max="4615" width="12.5703125" style="198" customWidth="1"/>
    <col min="4616" max="4616" width="12" style="198" customWidth="1"/>
    <col min="4617" max="4617" width="12.140625" style="198" customWidth="1"/>
    <col min="4618" max="4618" width="14.28515625" style="198" customWidth="1"/>
    <col min="4619" max="4864" width="9.140625" style="198"/>
    <col min="4865" max="4865" width="5.42578125" style="198" customWidth="1"/>
    <col min="4866" max="4866" width="7.7109375" style="198" customWidth="1"/>
    <col min="4867" max="4868" width="6.140625" style="198" customWidth="1"/>
    <col min="4869" max="4869" width="6.42578125" style="198" customWidth="1"/>
    <col min="4870" max="4870" width="6.85546875" style="198" customWidth="1"/>
    <col min="4871" max="4871" width="12.5703125" style="198" customWidth="1"/>
    <col min="4872" max="4872" width="12" style="198" customWidth="1"/>
    <col min="4873" max="4873" width="12.140625" style="198" customWidth="1"/>
    <col min="4874" max="4874" width="14.28515625" style="198" customWidth="1"/>
    <col min="4875" max="5120" width="9.140625" style="198"/>
    <col min="5121" max="5121" width="5.42578125" style="198" customWidth="1"/>
    <col min="5122" max="5122" width="7.7109375" style="198" customWidth="1"/>
    <col min="5123" max="5124" width="6.140625" style="198" customWidth="1"/>
    <col min="5125" max="5125" width="6.42578125" style="198" customWidth="1"/>
    <col min="5126" max="5126" width="6.85546875" style="198" customWidth="1"/>
    <col min="5127" max="5127" width="12.5703125" style="198" customWidth="1"/>
    <col min="5128" max="5128" width="12" style="198" customWidth="1"/>
    <col min="5129" max="5129" width="12.140625" style="198" customWidth="1"/>
    <col min="5130" max="5130" width="14.28515625" style="198" customWidth="1"/>
    <col min="5131" max="5376" width="9.140625" style="198"/>
    <col min="5377" max="5377" width="5.42578125" style="198" customWidth="1"/>
    <col min="5378" max="5378" width="7.7109375" style="198" customWidth="1"/>
    <col min="5379" max="5380" width="6.140625" style="198" customWidth="1"/>
    <col min="5381" max="5381" width="6.42578125" style="198" customWidth="1"/>
    <col min="5382" max="5382" width="6.85546875" style="198" customWidth="1"/>
    <col min="5383" max="5383" width="12.5703125" style="198" customWidth="1"/>
    <col min="5384" max="5384" width="12" style="198" customWidth="1"/>
    <col min="5385" max="5385" width="12.140625" style="198" customWidth="1"/>
    <col min="5386" max="5386" width="14.28515625" style="198" customWidth="1"/>
    <col min="5387" max="5632" width="9.140625" style="198"/>
    <col min="5633" max="5633" width="5.42578125" style="198" customWidth="1"/>
    <col min="5634" max="5634" width="7.7109375" style="198" customWidth="1"/>
    <col min="5635" max="5636" width="6.140625" style="198" customWidth="1"/>
    <col min="5637" max="5637" width="6.42578125" style="198" customWidth="1"/>
    <col min="5638" max="5638" width="6.85546875" style="198" customWidth="1"/>
    <col min="5639" max="5639" width="12.5703125" style="198" customWidth="1"/>
    <col min="5640" max="5640" width="12" style="198" customWidth="1"/>
    <col min="5641" max="5641" width="12.140625" style="198" customWidth="1"/>
    <col min="5642" max="5642" width="14.28515625" style="198" customWidth="1"/>
    <col min="5643" max="5888" width="9.140625" style="198"/>
    <col min="5889" max="5889" width="5.42578125" style="198" customWidth="1"/>
    <col min="5890" max="5890" width="7.7109375" style="198" customWidth="1"/>
    <col min="5891" max="5892" width="6.140625" style="198" customWidth="1"/>
    <col min="5893" max="5893" width="6.42578125" style="198" customWidth="1"/>
    <col min="5894" max="5894" width="6.85546875" style="198" customWidth="1"/>
    <col min="5895" max="5895" width="12.5703125" style="198" customWidth="1"/>
    <col min="5896" max="5896" width="12" style="198" customWidth="1"/>
    <col min="5897" max="5897" width="12.140625" style="198" customWidth="1"/>
    <col min="5898" max="5898" width="14.28515625" style="198" customWidth="1"/>
    <col min="5899" max="6144" width="9.140625" style="198"/>
    <col min="6145" max="6145" width="5.42578125" style="198" customWidth="1"/>
    <col min="6146" max="6146" width="7.7109375" style="198" customWidth="1"/>
    <col min="6147" max="6148" width="6.140625" style="198" customWidth="1"/>
    <col min="6149" max="6149" width="6.42578125" style="198" customWidth="1"/>
    <col min="6150" max="6150" width="6.85546875" style="198" customWidth="1"/>
    <col min="6151" max="6151" width="12.5703125" style="198" customWidth="1"/>
    <col min="6152" max="6152" width="12" style="198" customWidth="1"/>
    <col min="6153" max="6153" width="12.140625" style="198" customWidth="1"/>
    <col min="6154" max="6154" width="14.28515625" style="198" customWidth="1"/>
    <col min="6155" max="6400" width="9.140625" style="198"/>
    <col min="6401" max="6401" width="5.42578125" style="198" customWidth="1"/>
    <col min="6402" max="6402" width="7.7109375" style="198" customWidth="1"/>
    <col min="6403" max="6404" width="6.140625" style="198" customWidth="1"/>
    <col min="6405" max="6405" width="6.42578125" style="198" customWidth="1"/>
    <col min="6406" max="6406" width="6.85546875" style="198" customWidth="1"/>
    <col min="6407" max="6407" width="12.5703125" style="198" customWidth="1"/>
    <col min="6408" max="6408" width="12" style="198" customWidth="1"/>
    <col min="6409" max="6409" width="12.140625" style="198" customWidth="1"/>
    <col min="6410" max="6410" width="14.28515625" style="198" customWidth="1"/>
    <col min="6411" max="6656" width="9.140625" style="198"/>
    <col min="6657" max="6657" width="5.42578125" style="198" customWidth="1"/>
    <col min="6658" max="6658" width="7.7109375" style="198" customWidth="1"/>
    <col min="6659" max="6660" width="6.140625" style="198" customWidth="1"/>
    <col min="6661" max="6661" width="6.42578125" style="198" customWidth="1"/>
    <col min="6662" max="6662" width="6.85546875" style="198" customWidth="1"/>
    <col min="6663" max="6663" width="12.5703125" style="198" customWidth="1"/>
    <col min="6664" max="6664" width="12" style="198" customWidth="1"/>
    <col min="6665" max="6665" width="12.140625" style="198" customWidth="1"/>
    <col min="6666" max="6666" width="14.28515625" style="198" customWidth="1"/>
    <col min="6667" max="6912" width="9.140625" style="198"/>
    <col min="6913" max="6913" width="5.42578125" style="198" customWidth="1"/>
    <col min="6914" max="6914" width="7.7109375" style="198" customWidth="1"/>
    <col min="6915" max="6916" width="6.140625" style="198" customWidth="1"/>
    <col min="6917" max="6917" width="6.42578125" style="198" customWidth="1"/>
    <col min="6918" max="6918" width="6.85546875" style="198" customWidth="1"/>
    <col min="6919" max="6919" width="12.5703125" style="198" customWidth="1"/>
    <col min="6920" max="6920" width="12" style="198" customWidth="1"/>
    <col min="6921" max="6921" width="12.140625" style="198" customWidth="1"/>
    <col min="6922" max="6922" width="14.28515625" style="198" customWidth="1"/>
    <col min="6923" max="7168" width="9.140625" style="198"/>
    <col min="7169" max="7169" width="5.42578125" style="198" customWidth="1"/>
    <col min="7170" max="7170" width="7.7109375" style="198" customWidth="1"/>
    <col min="7171" max="7172" width="6.140625" style="198" customWidth="1"/>
    <col min="7173" max="7173" width="6.42578125" style="198" customWidth="1"/>
    <col min="7174" max="7174" width="6.85546875" style="198" customWidth="1"/>
    <col min="7175" max="7175" width="12.5703125" style="198" customWidth="1"/>
    <col min="7176" max="7176" width="12" style="198" customWidth="1"/>
    <col min="7177" max="7177" width="12.140625" style="198" customWidth="1"/>
    <col min="7178" max="7178" width="14.28515625" style="198" customWidth="1"/>
    <col min="7179" max="7424" width="9.140625" style="198"/>
    <col min="7425" max="7425" width="5.42578125" style="198" customWidth="1"/>
    <col min="7426" max="7426" width="7.7109375" style="198" customWidth="1"/>
    <col min="7427" max="7428" width="6.140625" style="198" customWidth="1"/>
    <col min="7429" max="7429" width="6.42578125" style="198" customWidth="1"/>
    <col min="7430" max="7430" width="6.85546875" style="198" customWidth="1"/>
    <col min="7431" max="7431" width="12.5703125" style="198" customWidth="1"/>
    <col min="7432" max="7432" width="12" style="198" customWidth="1"/>
    <col min="7433" max="7433" width="12.140625" style="198" customWidth="1"/>
    <col min="7434" max="7434" width="14.28515625" style="198" customWidth="1"/>
    <col min="7435" max="7680" width="9.140625" style="198"/>
    <col min="7681" max="7681" width="5.42578125" style="198" customWidth="1"/>
    <col min="7682" max="7682" width="7.7109375" style="198" customWidth="1"/>
    <col min="7683" max="7684" width="6.140625" style="198" customWidth="1"/>
    <col min="7685" max="7685" width="6.42578125" style="198" customWidth="1"/>
    <col min="7686" max="7686" width="6.85546875" style="198" customWidth="1"/>
    <col min="7687" max="7687" width="12.5703125" style="198" customWidth="1"/>
    <col min="7688" max="7688" width="12" style="198" customWidth="1"/>
    <col min="7689" max="7689" width="12.140625" style="198" customWidth="1"/>
    <col min="7690" max="7690" width="14.28515625" style="198" customWidth="1"/>
    <col min="7691" max="7936" width="9.140625" style="198"/>
    <col min="7937" max="7937" width="5.42578125" style="198" customWidth="1"/>
    <col min="7938" max="7938" width="7.7109375" style="198" customWidth="1"/>
    <col min="7939" max="7940" width="6.140625" style="198" customWidth="1"/>
    <col min="7941" max="7941" width="6.42578125" style="198" customWidth="1"/>
    <col min="7942" max="7942" width="6.85546875" style="198" customWidth="1"/>
    <col min="7943" max="7943" width="12.5703125" style="198" customWidth="1"/>
    <col min="7944" max="7944" width="12" style="198" customWidth="1"/>
    <col min="7945" max="7945" width="12.140625" style="198" customWidth="1"/>
    <col min="7946" max="7946" width="14.28515625" style="198" customWidth="1"/>
    <col min="7947" max="8192" width="9.140625" style="198"/>
    <col min="8193" max="8193" width="5.42578125" style="198" customWidth="1"/>
    <col min="8194" max="8194" width="7.7109375" style="198" customWidth="1"/>
    <col min="8195" max="8196" width="6.140625" style="198" customWidth="1"/>
    <col min="8197" max="8197" width="6.42578125" style="198" customWidth="1"/>
    <col min="8198" max="8198" width="6.85546875" style="198" customWidth="1"/>
    <col min="8199" max="8199" width="12.5703125" style="198" customWidth="1"/>
    <col min="8200" max="8200" width="12" style="198" customWidth="1"/>
    <col min="8201" max="8201" width="12.140625" style="198" customWidth="1"/>
    <col min="8202" max="8202" width="14.28515625" style="198" customWidth="1"/>
    <col min="8203" max="8448" width="9.140625" style="198"/>
    <col min="8449" max="8449" width="5.42578125" style="198" customWidth="1"/>
    <col min="8450" max="8450" width="7.7109375" style="198" customWidth="1"/>
    <col min="8451" max="8452" width="6.140625" style="198" customWidth="1"/>
    <col min="8453" max="8453" width="6.42578125" style="198" customWidth="1"/>
    <col min="8454" max="8454" width="6.85546875" style="198" customWidth="1"/>
    <col min="8455" max="8455" width="12.5703125" style="198" customWidth="1"/>
    <col min="8456" max="8456" width="12" style="198" customWidth="1"/>
    <col min="8457" max="8457" width="12.140625" style="198" customWidth="1"/>
    <col min="8458" max="8458" width="14.28515625" style="198" customWidth="1"/>
    <col min="8459" max="8704" width="9.140625" style="198"/>
    <col min="8705" max="8705" width="5.42578125" style="198" customWidth="1"/>
    <col min="8706" max="8706" width="7.7109375" style="198" customWidth="1"/>
    <col min="8707" max="8708" width="6.140625" style="198" customWidth="1"/>
    <col min="8709" max="8709" width="6.42578125" style="198" customWidth="1"/>
    <col min="8710" max="8710" width="6.85546875" style="198" customWidth="1"/>
    <col min="8711" max="8711" width="12.5703125" style="198" customWidth="1"/>
    <col min="8712" max="8712" width="12" style="198" customWidth="1"/>
    <col min="8713" max="8713" width="12.140625" style="198" customWidth="1"/>
    <col min="8714" max="8714" width="14.28515625" style="198" customWidth="1"/>
    <col min="8715" max="8960" width="9.140625" style="198"/>
    <col min="8961" max="8961" width="5.42578125" style="198" customWidth="1"/>
    <col min="8962" max="8962" width="7.7109375" style="198" customWidth="1"/>
    <col min="8963" max="8964" width="6.140625" style="198" customWidth="1"/>
    <col min="8965" max="8965" width="6.42578125" style="198" customWidth="1"/>
    <col min="8966" max="8966" width="6.85546875" style="198" customWidth="1"/>
    <col min="8967" max="8967" width="12.5703125" style="198" customWidth="1"/>
    <col min="8968" max="8968" width="12" style="198" customWidth="1"/>
    <col min="8969" max="8969" width="12.140625" style="198" customWidth="1"/>
    <col min="8970" max="8970" width="14.28515625" style="198" customWidth="1"/>
    <col min="8971" max="9216" width="9.140625" style="198"/>
    <col min="9217" max="9217" width="5.42578125" style="198" customWidth="1"/>
    <col min="9218" max="9218" width="7.7109375" style="198" customWidth="1"/>
    <col min="9219" max="9220" width="6.140625" style="198" customWidth="1"/>
    <col min="9221" max="9221" width="6.42578125" style="198" customWidth="1"/>
    <col min="9222" max="9222" width="6.85546875" style="198" customWidth="1"/>
    <col min="9223" max="9223" width="12.5703125" style="198" customWidth="1"/>
    <col min="9224" max="9224" width="12" style="198" customWidth="1"/>
    <col min="9225" max="9225" width="12.140625" style="198" customWidth="1"/>
    <col min="9226" max="9226" width="14.28515625" style="198" customWidth="1"/>
    <col min="9227" max="9472" width="9.140625" style="198"/>
    <col min="9473" max="9473" width="5.42578125" style="198" customWidth="1"/>
    <col min="9474" max="9474" width="7.7109375" style="198" customWidth="1"/>
    <col min="9475" max="9476" width="6.140625" style="198" customWidth="1"/>
    <col min="9477" max="9477" width="6.42578125" style="198" customWidth="1"/>
    <col min="9478" max="9478" width="6.85546875" style="198" customWidth="1"/>
    <col min="9479" max="9479" width="12.5703125" style="198" customWidth="1"/>
    <col min="9480" max="9480" width="12" style="198" customWidth="1"/>
    <col min="9481" max="9481" width="12.140625" style="198" customWidth="1"/>
    <col min="9482" max="9482" width="14.28515625" style="198" customWidth="1"/>
    <col min="9483" max="9728" width="9.140625" style="198"/>
    <col min="9729" max="9729" width="5.42578125" style="198" customWidth="1"/>
    <col min="9730" max="9730" width="7.7109375" style="198" customWidth="1"/>
    <col min="9731" max="9732" width="6.140625" style="198" customWidth="1"/>
    <col min="9733" max="9733" width="6.42578125" style="198" customWidth="1"/>
    <col min="9734" max="9734" width="6.85546875" style="198" customWidth="1"/>
    <col min="9735" max="9735" width="12.5703125" style="198" customWidth="1"/>
    <col min="9736" max="9736" width="12" style="198" customWidth="1"/>
    <col min="9737" max="9737" width="12.140625" style="198" customWidth="1"/>
    <col min="9738" max="9738" width="14.28515625" style="198" customWidth="1"/>
    <col min="9739" max="9984" width="9.140625" style="198"/>
    <col min="9985" max="9985" width="5.42578125" style="198" customWidth="1"/>
    <col min="9986" max="9986" width="7.7109375" style="198" customWidth="1"/>
    <col min="9987" max="9988" width="6.140625" style="198" customWidth="1"/>
    <col min="9989" max="9989" width="6.42578125" style="198" customWidth="1"/>
    <col min="9990" max="9990" width="6.85546875" style="198" customWidth="1"/>
    <col min="9991" max="9991" width="12.5703125" style="198" customWidth="1"/>
    <col min="9992" max="9992" width="12" style="198" customWidth="1"/>
    <col min="9993" max="9993" width="12.140625" style="198" customWidth="1"/>
    <col min="9994" max="9994" width="14.28515625" style="198" customWidth="1"/>
    <col min="9995" max="10240" width="9.140625" style="198"/>
    <col min="10241" max="10241" width="5.42578125" style="198" customWidth="1"/>
    <col min="10242" max="10242" width="7.7109375" style="198" customWidth="1"/>
    <col min="10243" max="10244" width="6.140625" style="198" customWidth="1"/>
    <col min="10245" max="10245" width="6.42578125" style="198" customWidth="1"/>
    <col min="10246" max="10246" width="6.85546875" style="198" customWidth="1"/>
    <col min="10247" max="10247" width="12.5703125" style="198" customWidth="1"/>
    <col min="10248" max="10248" width="12" style="198" customWidth="1"/>
    <col min="10249" max="10249" width="12.140625" style="198" customWidth="1"/>
    <col min="10250" max="10250" width="14.28515625" style="198" customWidth="1"/>
    <col min="10251" max="10496" width="9.140625" style="198"/>
    <col min="10497" max="10497" width="5.42578125" style="198" customWidth="1"/>
    <col min="10498" max="10498" width="7.7109375" style="198" customWidth="1"/>
    <col min="10499" max="10500" width="6.140625" style="198" customWidth="1"/>
    <col min="10501" max="10501" width="6.42578125" style="198" customWidth="1"/>
    <col min="10502" max="10502" width="6.85546875" style="198" customWidth="1"/>
    <col min="10503" max="10503" width="12.5703125" style="198" customWidth="1"/>
    <col min="10504" max="10504" width="12" style="198" customWidth="1"/>
    <col min="10505" max="10505" width="12.140625" style="198" customWidth="1"/>
    <col min="10506" max="10506" width="14.28515625" style="198" customWidth="1"/>
    <col min="10507" max="10752" width="9.140625" style="198"/>
    <col min="10753" max="10753" width="5.42578125" style="198" customWidth="1"/>
    <col min="10754" max="10754" width="7.7109375" style="198" customWidth="1"/>
    <col min="10755" max="10756" width="6.140625" style="198" customWidth="1"/>
    <col min="10757" max="10757" width="6.42578125" style="198" customWidth="1"/>
    <col min="10758" max="10758" width="6.85546875" style="198" customWidth="1"/>
    <col min="10759" max="10759" width="12.5703125" style="198" customWidth="1"/>
    <col min="10760" max="10760" width="12" style="198" customWidth="1"/>
    <col min="10761" max="10761" width="12.140625" style="198" customWidth="1"/>
    <col min="10762" max="10762" width="14.28515625" style="198" customWidth="1"/>
    <col min="10763" max="11008" width="9.140625" style="198"/>
    <col min="11009" max="11009" width="5.42578125" style="198" customWidth="1"/>
    <col min="11010" max="11010" width="7.7109375" style="198" customWidth="1"/>
    <col min="11011" max="11012" width="6.140625" style="198" customWidth="1"/>
    <col min="11013" max="11013" width="6.42578125" style="198" customWidth="1"/>
    <col min="11014" max="11014" width="6.85546875" style="198" customWidth="1"/>
    <col min="11015" max="11015" width="12.5703125" style="198" customWidth="1"/>
    <col min="11016" max="11016" width="12" style="198" customWidth="1"/>
    <col min="11017" max="11017" width="12.140625" style="198" customWidth="1"/>
    <col min="11018" max="11018" width="14.28515625" style="198" customWidth="1"/>
    <col min="11019" max="11264" width="9.140625" style="198"/>
    <col min="11265" max="11265" width="5.42578125" style="198" customWidth="1"/>
    <col min="11266" max="11266" width="7.7109375" style="198" customWidth="1"/>
    <col min="11267" max="11268" width="6.140625" style="198" customWidth="1"/>
    <col min="11269" max="11269" width="6.42578125" style="198" customWidth="1"/>
    <col min="11270" max="11270" width="6.85546875" style="198" customWidth="1"/>
    <col min="11271" max="11271" width="12.5703125" style="198" customWidth="1"/>
    <col min="11272" max="11272" width="12" style="198" customWidth="1"/>
    <col min="11273" max="11273" width="12.140625" style="198" customWidth="1"/>
    <col min="11274" max="11274" width="14.28515625" style="198" customWidth="1"/>
    <col min="11275" max="11520" width="9.140625" style="198"/>
    <col min="11521" max="11521" width="5.42578125" style="198" customWidth="1"/>
    <col min="11522" max="11522" width="7.7109375" style="198" customWidth="1"/>
    <col min="11523" max="11524" width="6.140625" style="198" customWidth="1"/>
    <col min="11525" max="11525" width="6.42578125" style="198" customWidth="1"/>
    <col min="11526" max="11526" width="6.85546875" style="198" customWidth="1"/>
    <col min="11527" max="11527" width="12.5703125" style="198" customWidth="1"/>
    <col min="11528" max="11528" width="12" style="198" customWidth="1"/>
    <col min="11529" max="11529" width="12.140625" style="198" customWidth="1"/>
    <col min="11530" max="11530" width="14.28515625" style="198" customWidth="1"/>
    <col min="11531" max="11776" width="9.140625" style="198"/>
    <col min="11777" max="11777" width="5.42578125" style="198" customWidth="1"/>
    <col min="11778" max="11778" width="7.7109375" style="198" customWidth="1"/>
    <col min="11779" max="11780" width="6.140625" style="198" customWidth="1"/>
    <col min="11781" max="11781" width="6.42578125" style="198" customWidth="1"/>
    <col min="11782" max="11782" width="6.85546875" style="198" customWidth="1"/>
    <col min="11783" max="11783" width="12.5703125" style="198" customWidth="1"/>
    <col min="11784" max="11784" width="12" style="198" customWidth="1"/>
    <col min="11785" max="11785" width="12.140625" style="198" customWidth="1"/>
    <col min="11786" max="11786" width="14.28515625" style="198" customWidth="1"/>
    <col min="11787" max="12032" width="9.140625" style="198"/>
    <col min="12033" max="12033" width="5.42578125" style="198" customWidth="1"/>
    <col min="12034" max="12034" width="7.7109375" style="198" customWidth="1"/>
    <col min="12035" max="12036" width="6.140625" style="198" customWidth="1"/>
    <col min="12037" max="12037" width="6.42578125" style="198" customWidth="1"/>
    <col min="12038" max="12038" width="6.85546875" style="198" customWidth="1"/>
    <col min="12039" max="12039" width="12.5703125" style="198" customWidth="1"/>
    <col min="12040" max="12040" width="12" style="198" customWidth="1"/>
    <col min="12041" max="12041" width="12.140625" style="198" customWidth="1"/>
    <col min="12042" max="12042" width="14.28515625" style="198" customWidth="1"/>
    <col min="12043" max="12288" width="9.140625" style="198"/>
    <col min="12289" max="12289" width="5.42578125" style="198" customWidth="1"/>
    <col min="12290" max="12290" width="7.7109375" style="198" customWidth="1"/>
    <col min="12291" max="12292" width="6.140625" style="198" customWidth="1"/>
    <col min="12293" max="12293" width="6.42578125" style="198" customWidth="1"/>
    <col min="12294" max="12294" width="6.85546875" style="198" customWidth="1"/>
    <col min="12295" max="12295" width="12.5703125" style="198" customWidth="1"/>
    <col min="12296" max="12296" width="12" style="198" customWidth="1"/>
    <col min="12297" max="12297" width="12.140625" style="198" customWidth="1"/>
    <col min="12298" max="12298" width="14.28515625" style="198" customWidth="1"/>
    <col min="12299" max="12544" width="9.140625" style="198"/>
    <col min="12545" max="12545" width="5.42578125" style="198" customWidth="1"/>
    <col min="12546" max="12546" width="7.7109375" style="198" customWidth="1"/>
    <col min="12547" max="12548" width="6.140625" style="198" customWidth="1"/>
    <col min="12549" max="12549" width="6.42578125" style="198" customWidth="1"/>
    <col min="12550" max="12550" width="6.85546875" style="198" customWidth="1"/>
    <col min="12551" max="12551" width="12.5703125" style="198" customWidth="1"/>
    <col min="12552" max="12552" width="12" style="198" customWidth="1"/>
    <col min="12553" max="12553" width="12.140625" style="198" customWidth="1"/>
    <col min="12554" max="12554" width="14.28515625" style="198" customWidth="1"/>
    <col min="12555" max="12800" width="9.140625" style="198"/>
    <col min="12801" max="12801" width="5.42578125" style="198" customWidth="1"/>
    <col min="12802" max="12802" width="7.7109375" style="198" customWidth="1"/>
    <col min="12803" max="12804" width="6.140625" style="198" customWidth="1"/>
    <col min="12805" max="12805" width="6.42578125" style="198" customWidth="1"/>
    <col min="12806" max="12806" width="6.85546875" style="198" customWidth="1"/>
    <col min="12807" max="12807" width="12.5703125" style="198" customWidth="1"/>
    <col min="12808" max="12808" width="12" style="198" customWidth="1"/>
    <col min="12809" max="12809" width="12.140625" style="198" customWidth="1"/>
    <col min="12810" max="12810" width="14.28515625" style="198" customWidth="1"/>
    <col min="12811" max="13056" width="9.140625" style="198"/>
    <col min="13057" max="13057" width="5.42578125" style="198" customWidth="1"/>
    <col min="13058" max="13058" width="7.7109375" style="198" customWidth="1"/>
    <col min="13059" max="13060" width="6.140625" style="198" customWidth="1"/>
    <col min="13061" max="13061" width="6.42578125" style="198" customWidth="1"/>
    <col min="13062" max="13062" width="6.85546875" style="198" customWidth="1"/>
    <col min="13063" max="13063" width="12.5703125" style="198" customWidth="1"/>
    <col min="13064" max="13064" width="12" style="198" customWidth="1"/>
    <col min="13065" max="13065" width="12.140625" style="198" customWidth="1"/>
    <col min="13066" max="13066" width="14.28515625" style="198" customWidth="1"/>
    <col min="13067" max="13312" width="9.140625" style="198"/>
    <col min="13313" max="13313" width="5.42578125" style="198" customWidth="1"/>
    <col min="13314" max="13314" width="7.7109375" style="198" customWidth="1"/>
    <col min="13315" max="13316" width="6.140625" style="198" customWidth="1"/>
    <col min="13317" max="13317" width="6.42578125" style="198" customWidth="1"/>
    <col min="13318" max="13318" width="6.85546875" style="198" customWidth="1"/>
    <col min="13319" max="13319" width="12.5703125" style="198" customWidth="1"/>
    <col min="13320" max="13320" width="12" style="198" customWidth="1"/>
    <col min="13321" max="13321" width="12.140625" style="198" customWidth="1"/>
    <col min="13322" max="13322" width="14.28515625" style="198" customWidth="1"/>
    <col min="13323" max="13568" width="9.140625" style="198"/>
    <col min="13569" max="13569" width="5.42578125" style="198" customWidth="1"/>
    <col min="13570" max="13570" width="7.7109375" style="198" customWidth="1"/>
    <col min="13571" max="13572" width="6.140625" style="198" customWidth="1"/>
    <col min="13573" max="13573" width="6.42578125" style="198" customWidth="1"/>
    <col min="13574" max="13574" width="6.85546875" style="198" customWidth="1"/>
    <col min="13575" max="13575" width="12.5703125" style="198" customWidth="1"/>
    <col min="13576" max="13576" width="12" style="198" customWidth="1"/>
    <col min="13577" max="13577" width="12.140625" style="198" customWidth="1"/>
    <col min="13578" max="13578" width="14.28515625" style="198" customWidth="1"/>
    <col min="13579" max="13824" width="9.140625" style="198"/>
    <col min="13825" max="13825" width="5.42578125" style="198" customWidth="1"/>
    <col min="13826" max="13826" width="7.7109375" style="198" customWidth="1"/>
    <col min="13827" max="13828" width="6.140625" style="198" customWidth="1"/>
    <col min="13829" max="13829" width="6.42578125" style="198" customWidth="1"/>
    <col min="13830" max="13830" width="6.85546875" style="198" customWidth="1"/>
    <col min="13831" max="13831" width="12.5703125" style="198" customWidth="1"/>
    <col min="13832" max="13832" width="12" style="198" customWidth="1"/>
    <col min="13833" max="13833" width="12.140625" style="198" customWidth="1"/>
    <col min="13834" max="13834" width="14.28515625" style="198" customWidth="1"/>
    <col min="13835" max="14080" width="9.140625" style="198"/>
    <col min="14081" max="14081" width="5.42578125" style="198" customWidth="1"/>
    <col min="14082" max="14082" width="7.7109375" style="198" customWidth="1"/>
    <col min="14083" max="14084" width="6.140625" style="198" customWidth="1"/>
    <col min="14085" max="14085" width="6.42578125" style="198" customWidth="1"/>
    <col min="14086" max="14086" width="6.85546875" style="198" customWidth="1"/>
    <col min="14087" max="14087" width="12.5703125" style="198" customWidth="1"/>
    <col min="14088" max="14088" width="12" style="198" customWidth="1"/>
    <col min="14089" max="14089" width="12.140625" style="198" customWidth="1"/>
    <col min="14090" max="14090" width="14.28515625" style="198" customWidth="1"/>
    <col min="14091" max="14336" width="9.140625" style="198"/>
    <col min="14337" max="14337" width="5.42578125" style="198" customWidth="1"/>
    <col min="14338" max="14338" width="7.7109375" style="198" customWidth="1"/>
    <col min="14339" max="14340" width="6.140625" style="198" customWidth="1"/>
    <col min="14341" max="14341" width="6.42578125" style="198" customWidth="1"/>
    <col min="14342" max="14342" width="6.85546875" style="198" customWidth="1"/>
    <col min="14343" max="14343" width="12.5703125" style="198" customWidth="1"/>
    <col min="14344" max="14344" width="12" style="198" customWidth="1"/>
    <col min="14345" max="14345" width="12.140625" style="198" customWidth="1"/>
    <col min="14346" max="14346" width="14.28515625" style="198" customWidth="1"/>
    <col min="14347" max="14592" width="9.140625" style="198"/>
    <col min="14593" max="14593" width="5.42578125" style="198" customWidth="1"/>
    <col min="14594" max="14594" width="7.7109375" style="198" customWidth="1"/>
    <col min="14595" max="14596" width="6.140625" style="198" customWidth="1"/>
    <col min="14597" max="14597" width="6.42578125" style="198" customWidth="1"/>
    <col min="14598" max="14598" width="6.85546875" style="198" customWidth="1"/>
    <col min="14599" max="14599" width="12.5703125" style="198" customWidth="1"/>
    <col min="14600" max="14600" width="12" style="198" customWidth="1"/>
    <col min="14601" max="14601" width="12.140625" style="198" customWidth="1"/>
    <col min="14602" max="14602" width="14.28515625" style="198" customWidth="1"/>
    <col min="14603" max="14848" width="9.140625" style="198"/>
    <col min="14849" max="14849" width="5.42578125" style="198" customWidth="1"/>
    <col min="14850" max="14850" width="7.7109375" style="198" customWidth="1"/>
    <col min="14851" max="14852" width="6.140625" style="198" customWidth="1"/>
    <col min="14853" max="14853" width="6.42578125" style="198" customWidth="1"/>
    <col min="14854" max="14854" width="6.85546875" style="198" customWidth="1"/>
    <col min="14855" max="14855" width="12.5703125" style="198" customWidth="1"/>
    <col min="14856" max="14856" width="12" style="198" customWidth="1"/>
    <col min="14857" max="14857" width="12.140625" style="198" customWidth="1"/>
    <col min="14858" max="14858" width="14.28515625" style="198" customWidth="1"/>
    <col min="14859" max="15104" width="9.140625" style="198"/>
    <col min="15105" max="15105" width="5.42578125" style="198" customWidth="1"/>
    <col min="15106" max="15106" width="7.7109375" style="198" customWidth="1"/>
    <col min="15107" max="15108" width="6.140625" style="198" customWidth="1"/>
    <col min="15109" max="15109" width="6.42578125" style="198" customWidth="1"/>
    <col min="15110" max="15110" width="6.85546875" style="198" customWidth="1"/>
    <col min="15111" max="15111" width="12.5703125" style="198" customWidth="1"/>
    <col min="15112" max="15112" width="12" style="198" customWidth="1"/>
    <col min="15113" max="15113" width="12.140625" style="198" customWidth="1"/>
    <col min="15114" max="15114" width="14.28515625" style="198" customWidth="1"/>
    <col min="15115" max="15360" width="9.140625" style="198"/>
    <col min="15361" max="15361" width="5.42578125" style="198" customWidth="1"/>
    <col min="15362" max="15362" width="7.7109375" style="198" customWidth="1"/>
    <col min="15363" max="15364" width="6.140625" style="198" customWidth="1"/>
    <col min="15365" max="15365" width="6.42578125" style="198" customWidth="1"/>
    <col min="15366" max="15366" width="6.85546875" style="198" customWidth="1"/>
    <col min="15367" max="15367" width="12.5703125" style="198" customWidth="1"/>
    <col min="15368" max="15368" width="12" style="198" customWidth="1"/>
    <col min="15369" max="15369" width="12.140625" style="198" customWidth="1"/>
    <col min="15370" max="15370" width="14.28515625" style="198" customWidth="1"/>
    <col min="15371" max="15616" width="9.140625" style="198"/>
    <col min="15617" max="15617" width="5.42578125" style="198" customWidth="1"/>
    <col min="15618" max="15618" width="7.7109375" style="198" customWidth="1"/>
    <col min="15619" max="15620" width="6.140625" style="198" customWidth="1"/>
    <col min="15621" max="15621" width="6.42578125" style="198" customWidth="1"/>
    <col min="15622" max="15622" width="6.85546875" style="198" customWidth="1"/>
    <col min="15623" max="15623" width="12.5703125" style="198" customWidth="1"/>
    <col min="15624" max="15624" width="12" style="198" customWidth="1"/>
    <col min="15625" max="15625" width="12.140625" style="198" customWidth="1"/>
    <col min="15626" max="15626" width="14.28515625" style="198" customWidth="1"/>
    <col min="15627" max="15872" width="9.140625" style="198"/>
    <col min="15873" max="15873" width="5.42578125" style="198" customWidth="1"/>
    <col min="15874" max="15874" width="7.7109375" style="198" customWidth="1"/>
    <col min="15875" max="15876" width="6.140625" style="198" customWidth="1"/>
    <col min="15877" max="15877" width="6.42578125" style="198" customWidth="1"/>
    <col min="15878" max="15878" width="6.85546875" style="198" customWidth="1"/>
    <col min="15879" max="15879" width="12.5703125" style="198" customWidth="1"/>
    <col min="15880" max="15880" width="12" style="198" customWidth="1"/>
    <col min="15881" max="15881" width="12.140625" style="198" customWidth="1"/>
    <col min="15882" max="15882" width="14.28515625" style="198" customWidth="1"/>
    <col min="15883" max="16128" width="9.140625" style="198"/>
    <col min="16129" max="16129" width="5.42578125" style="198" customWidth="1"/>
    <col min="16130" max="16130" width="7.7109375" style="198" customWidth="1"/>
    <col min="16131" max="16132" width="6.140625" style="198" customWidth="1"/>
    <col min="16133" max="16133" width="6.42578125" style="198" customWidth="1"/>
    <col min="16134" max="16134" width="6.85546875" style="198" customWidth="1"/>
    <col min="16135" max="16135" width="12.5703125" style="198" customWidth="1"/>
    <col min="16136" max="16136" width="12" style="198" customWidth="1"/>
    <col min="16137" max="16137" width="12.140625" style="198" customWidth="1"/>
    <col min="16138" max="16138" width="14.28515625" style="198" customWidth="1"/>
    <col min="16139" max="16384" width="9.140625" style="198"/>
  </cols>
  <sheetData>
    <row r="1" spans="1:10" ht="13.5">
      <c r="J1" s="199" t="s">
        <v>191</v>
      </c>
    </row>
    <row r="2" spans="1:10" ht="44.25" customHeight="1">
      <c r="A2" s="3308" t="s">
        <v>192</v>
      </c>
      <c r="B2" s="3309"/>
      <c r="C2" s="3309"/>
      <c r="D2" s="3309"/>
      <c r="E2" s="3309"/>
      <c r="F2" s="3309"/>
      <c r="G2" s="3309"/>
      <c r="H2" s="3309"/>
      <c r="I2" s="3309"/>
      <c r="J2" s="3309"/>
    </row>
    <row r="3" spans="1:10" ht="15.75" customHeight="1">
      <c r="A3" s="3310" t="str">
        <f>'Приложение '!A3:J3</f>
        <v>на "Водоснабдяване и канализация" ЕООД , гр. Благоевград</v>
      </c>
      <c r="B3" s="3310"/>
      <c r="C3" s="3310"/>
      <c r="D3" s="3310"/>
      <c r="E3" s="3310"/>
      <c r="F3" s="3310"/>
      <c r="G3" s="3310"/>
      <c r="H3" s="3310"/>
      <c r="I3" s="3310"/>
      <c r="J3" s="3310"/>
    </row>
    <row r="4" spans="1:10" ht="16.5" customHeight="1">
      <c r="A4" s="3310" t="str">
        <f>'Приложение '!A4:J4</f>
        <v>ЕИК по БУЛСТАТ: 811047831</v>
      </c>
      <c r="B4" s="3310"/>
      <c r="C4" s="3310"/>
      <c r="D4" s="3310"/>
      <c r="E4" s="3310"/>
      <c r="F4" s="3310"/>
      <c r="G4" s="3310"/>
      <c r="H4" s="3310"/>
      <c r="I4" s="3310"/>
      <c r="J4" s="3310"/>
    </row>
    <row r="5" spans="1:10" ht="13.5" thickBot="1"/>
    <row r="6" spans="1:10" ht="15.75">
      <c r="A6" s="3311" t="s">
        <v>1</v>
      </c>
      <c r="B6" s="3313" t="s">
        <v>94</v>
      </c>
      <c r="C6" s="3314"/>
      <c r="D6" s="3314"/>
      <c r="E6" s="3314"/>
      <c r="F6" s="3314"/>
      <c r="G6" s="3314"/>
      <c r="H6" s="3314"/>
      <c r="I6" s="3314"/>
      <c r="J6" s="3315"/>
    </row>
    <row r="7" spans="1:10" ht="16.5" thickBot="1">
      <c r="A7" s="3312"/>
      <c r="B7" s="3316" t="s">
        <v>95</v>
      </c>
      <c r="C7" s="3317"/>
      <c r="D7" s="3317"/>
      <c r="E7" s="3317"/>
      <c r="F7" s="3318"/>
      <c r="G7" s="3319" t="s">
        <v>96</v>
      </c>
      <c r="H7" s="3320"/>
      <c r="I7" s="3320"/>
      <c r="J7" s="3321"/>
    </row>
    <row r="8" spans="1:10" ht="16.5" thickBot="1">
      <c r="A8" s="200" t="s">
        <v>193</v>
      </c>
      <c r="B8" s="3322" t="s">
        <v>194</v>
      </c>
      <c r="C8" s="3323"/>
      <c r="D8" s="3323"/>
      <c r="E8" s="3323"/>
      <c r="F8" s="3324"/>
      <c r="G8" s="3325"/>
      <c r="H8" s="3326"/>
      <c r="I8" s="3326"/>
      <c r="J8" s="3327"/>
    </row>
    <row r="9" spans="1:10" ht="15.75">
      <c r="A9" s="201" t="s">
        <v>98</v>
      </c>
      <c r="B9" s="3328" t="s">
        <v>195</v>
      </c>
      <c r="C9" s="3329"/>
      <c r="D9" s="3329"/>
      <c r="E9" s="3329"/>
      <c r="F9" s="3330"/>
      <c r="G9" s="2618" t="str">
        <f>'Приложение '!G8&amp;", "&amp;'Приложение '!G9:J9</f>
        <v>"Водоснабдяване и канализация" ЕООД , Благоевград</v>
      </c>
      <c r="H9" s="2619"/>
      <c r="I9" s="2619"/>
      <c r="J9" s="2620"/>
    </row>
    <row r="10" spans="1:10" ht="15.75">
      <c r="A10" s="201"/>
      <c r="B10" s="3305" t="s">
        <v>102</v>
      </c>
      <c r="C10" s="3306"/>
      <c r="D10" s="3306"/>
      <c r="E10" s="3306"/>
      <c r="F10" s="3307"/>
      <c r="G10" s="2621" t="str">
        <f>'Приложение '!G10:J10</f>
        <v>811047831</v>
      </c>
      <c r="H10" s="2622"/>
      <c r="I10" s="2622"/>
      <c r="J10" s="2623"/>
    </row>
    <row r="11" spans="1:10" ht="15.75">
      <c r="A11" s="202" t="s">
        <v>101</v>
      </c>
      <c r="B11" s="3305" t="s">
        <v>196</v>
      </c>
      <c r="C11" s="3306"/>
      <c r="D11" s="3306"/>
      <c r="E11" s="3306"/>
      <c r="F11" s="3307"/>
      <c r="G11" s="3331" t="s">
        <v>1566</v>
      </c>
      <c r="H11" s="3332"/>
      <c r="I11" s="3332"/>
      <c r="J11" s="3333"/>
    </row>
    <row r="12" spans="1:10" ht="15.75">
      <c r="A12" s="202" t="s">
        <v>197</v>
      </c>
      <c r="B12" s="3305" t="s">
        <v>198</v>
      </c>
      <c r="C12" s="3306"/>
      <c r="D12" s="3306"/>
      <c r="E12" s="3306"/>
      <c r="F12" s="3307"/>
      <c r="G12" s="3331" t="s">
        <v>1567</v>
      </c>
      <c r="H12" s="3332"/>
      <c r="I12" s="3332"/>
      <c r="J12" s="3333"/>
    </row>
    <row r="13" spans="1:10" ht="15.75">
      <c r="A13" s="202" t="s">
        <v>199</v>
      </c>
      <c r="B13" s="3305" t="s">
        <v>200</v>
      </c>
      <c r="C13" s="3306"/>
      <c r="D13" s="3306"/>
      <c r="E13" s="3306"/>
      <c r="F13" s="3307"/>
      <c r="G13" s="3331" t="s">
        <v>1565</v>
      </c>
      <c r="H13" s="3332"/>
      <c r="I13" s="3332"/>
      <c r="J13" s="3333"/>
    </row>
    <row r="14" spans="1:10" ht="15.75">
      <c r="A14" s="202" t="s">
        <v>201</v>
      </c>
      <c r="B14" s="3305" t="s">
        <v>202</v>
      </c>
      <c r="C14" s="3306"/>
      <c r="D14" s="3306"/>
      <c r="E14" s="3306"/>
      <c r="F14" s="3307"/>
      <c r="G14" s="3331" t="s">
        <v>1568</v>
      </c>
      <c r="H14" s="3332"/>
      <c r="I14" s="3332"/>
      <c r="J14" s="3333"/>
    </row>
    <row r="15" spans="1:10" ht="15.75">
      <c r="A15" s="202" t="s">
        <v>203</v>
      </c>
      <c r="B15" s="3305" t="s">
        <v>204</v>
      </c>
      <c r="C15" s="3306"/>
      <c r="D15" s="3306"/>
      <c r="E15" s="3306"/>
      <c r="F15" s="3307"/>
      <c r="G15" s="3331" t="s">
        <v>1569</v>
      </c>
      <c r="H15" s="3332"/>
      <c r="I15" s="3332"/>
      <c r="J15" s="3333"/>
    </row>
    <row r="16" spans="1:10" ht="15.75">
      <c r="A16" s="202" t="s">
        <v>205</v>
      </c>
      <c r="B16" s="3305" t="s">
        <v>206</v>
      </c>
      <c r="C16" s="3306"/>
      <c r="D16" s="3306"/>
      <c r="E16" s="3306"/>
      <c r="F16" s="3307"/>
      <c r="G16" s="3331" t="s">
        <v>1570</v>
      </c>
      <c r="H16" s="3332"/>
      <c r="I16" s="3332"/>
      <c r="J16" s="3333"/>
    </row>
    <row r="17" spans="1:10" ht="15.75">
      <c r="A17" s="202" t="s">
        <v>207</v>
      </c>
      <c r="B17" s="3305" t="s">
        <v>208</v>
      </c>
      <c r="C17" s="3306"/>
      <c r="D17" s="3306"/>
      <c r="E17" s="3306"/>
      <c r="F17" s="3307"/>
      <c r="G17" s="3331"/>
      <c r="H17" s="3332"/>
      <c r="I17" s="3332"/>
      <c r="J17" s="12"/>
    </row>
    <row r="18" spans="1:10" ht="15.75">
      <c r="A18" s="202"/>
      <c r="B18" s="1378"/>
      <c r="C18" s="1379"/>
      <c r="D18" s="1379"/>
      <c r="E18" s="1379"/>
      <c r="F18" s="1380"/>
      <c r="G18" s="3331"/>
      <c r="H18" s="3332"/>
      <c r="I18" s="3332"/>
      <c r="J18" s="12"/>
    </row>
    <row r="19" spans="1:10" ht="15.75">
      <c r="A19" s="202"/>
      <c r="B19" s="1378"/>
      <c r="C19" s="1379"/>
      <c r="D19" s="1379"/>
      <c r="E19" s="1379"/>
      <c r="F19" s="1380"/>
      <c r="G19" s="3331"/>
      <c r="H19" s="3332"/>
      <c r="I19" s="3332"/>
      <c r="J19" s="12"/>
    </row>
    <row r="20" spans="1:10" ht="15.75">
      <c r="A20" s="202"/>
      <c r="B20" s="3305"/>
      <c r="C20" s="3306"/>
      <c r="D20" s="3306"/>
      <c r="E20" s="3306"/>
      <c r="F20" s="3307"/>
      <c r="G20" s="3331"/>
      <c r="H20" s="3332"/>
      <c r="I20" s="3332"/>
      <c r="J20" s="12"/>
    </row>
    <row r="21" spans="1:10" ht="15.75">
      <c r="A21" s="202"/>
      <c r="B21" s="3305"/>
      <c r="C21" s="3306"/>
      <c r="D21" s="3306"/>
      <c r="E21" s="3306"/>
      <c r="F21" s="3307"/>
      <c r="G21" s="3331"/>
      <c r="H21" s="3332"/>
      <c r="I21" s="3332"/>
      <c r="J21" s="12"/>
    </row>
    <row r="22" spans="1:10" ht="15.75">
      <c r="A22" s="202"/>
      <c r="B22" s="3305"/>
      <c r="C22" s="3306"/>
      <c r="D22" s="3306"/>
      <c r="E22" s="3306"/>
      <c r="F22" s="3307"/>
      <c r="G22" s="3331"/>
      <c r="H22" s="3332"/>
      <c r="I22" s="3332"/>
      <c r="J22" s="12"/>
    </row>
    <row r="23" spans="1:10" ht="16.5" thickBot="1">
      <c r="A23" s="203"/>
      <c r="B23" s="3337"/>
      <c r="C23" s="3338"/>
      <c r="D23" s="3338"/>
      <c r="E23" s="3338"/>
      <c r="F23" s="3339"/>
      <c r="G23" s="3352"/>
      <c r="H23" s="3353"/>
      <c r="I23" s="3353"/>
      <c r="J23" s="17"/>
    </row>
    <row r="24" spans="1:10" ht="16.5" thickBot="1">
      <c r="A24" s="200" t="s">
        <v>103</v>
      </c>
      <c r="B24" s="3322" t="s">
        <v>209</v>
      </c>
      <c r="C24" s="3323"/>
      <c r="D24" s="3323"/>
      <c r="E24" s="3323"/>
      <c r="F24" s="3324"/>
      <c r="G24" s="204"/>
      <c r="H24" s="205"/>
      <c r="I24" s="205"/>
      <c r="J24" s="206"/>
    </row>
    <row r="25" spans="1:10" ht="15.75">
      <c r="A25" s="207" t="s">
        <v>105</v>
      </c>
      <c r="B25" s="3340" t="s">
        <v>210</v>
      </c>
      <c r="C25" s="3341"/>
      <c r="D25" s="3341"/>
      <c r="E25" s="3341"/>
      <c r="F25" s="3342"/>
      <c r="G25" s="3354" t="s">
        <v>1571</v>
      </c>
      <c r="H25" s="3355"/>
      <c r="I25" s="3355"/>
      <c r="J25" s="3356"/>
    </row>
    <row r="26" spans="1:10" ht="15.75">
      <c r="A26" s="208" t="s">
        <v>107</v>
      </c>
      <c r="B26" s="3334" t="s">
        <v>211</v>
      </c>
      <c r="C26" s="3335"/>
      <c r="D26" s="3335"/>
      <c r="E26" s="3335"/>
      <c r="F26" s="3336"/>
      <c r="G26" s="2624"/>
      <c r="H26" s="2625"/>
      <c r="I26" s="2625"/>
      <c r="J26" s="2626"/>
    </row>
    <row r="27" spans="1:10" ht="15.75">
      <c r="A27" s="202" t="s">
        <v>212</v>
      </c>
      <c r="B27" s="3346" t="s">
        <v>928</v>
      </c>
      <c r="C27" s="3347"/>
      <c r="D27" s="3347"/>
      <c r="E27" s="3347"/>
      <c r="F27" s="3348"/>
      <c r="G27" s="3357" t="s">
        <v>1565</v>
      </c>
      <c r="H27" s="3358"/>
      <c r="I27" s="3358"/>
      <c r="J27" s="3359"/>
    </row>
    <row r="28" spans="1:10" ht="15.75">
      <c r="A28" s="202"/>
      <c r="B28" s="3343" t="s">
        <v>213</v>
      </c>
      <c r="C28" s="3344"/>
      <c r="D28" s="3344"/>
      <c r="E28" s="3344"/>
      <c r="F28" s="3345"/>
      <c r="G28" s="3357" t="s">
        <v>1572</v>
      </c>
      <c r="H28" s="3358"/>
      <c r="I28" s="3358"/>
      <c r="J28" s="3359"/>
    </row>
    <row r="29" spans="1:10" ht="15.75">
      <c r="A29" s="202"/>
      <c r="B29" s="3343" t="s">
        <v>214</v>
      </c>
      <c r="C29" s="3344"/>
      <c r="D29" s="3344"/>
      <c r="E29" s="3344"/>
      <c r="F29" s="3345"/>
      <c r="G29" s="3357"/>
      <c r="H29" s="3358"/>
      <c r="I29" s="3358"/>
      <c r="J29" s="3359"/>
    </row>
    <row r="30" spans="1:10" ht="15.75">
      <c r="A30" s="202"/>
      <c r="B30" s="3343" t="s">
        <v>215</v>
      </c>
      <c r="C30" s="3344"/>
      <c r="D30" s="3344"/>
      <c r="E30" s="3344"/>
      <c r="F30" s="3345"/>
      <c r="G30" s="3357" t="s">
        <v>1573</v>
      </c>
      <c r="H30" s="3358"/>
      <c r="I30" s="3358"/>
      <c r="J30" s="3359"/>
    </row>
    <row r="31" spans="1:10" ht="15.75">
      <c r="A31" s="202"/>
      <c r="B31" s="3343" t="s">
        <v>216</v>
      </c>
      <c r="C31" s="3344"/>
      <c r="D31" s="3344"/>
      <c r="E31" s="3344"/>
      <c r="F31" s="3345"/>
      <c r="G31" s="3360" t="s">
        <v>1574</v>
      </c>
      <c r="H31" s="3361"/>
      <c r="I31" s="3361"/>
      <c r="J31" s="3362"/>
    </row>
    <row r="32" spans="1:10" ht="15.75">
      <c r="A32" s="202" t="s">
        <v>217</v>
      </c>
      <c r="B32" s="3346" t="s">
        <v>929</v>
      </c>
      <c r="C32" s="3347"/>
      <c r="D32" s="3347"/>
      <c r="E32" s="3347"/>
      <c r="F32" s="3348"/>
      <c r="G32" s="3357" t="s">
        <v>1564</v>
      </c>
      <c r="H32" s="3358"/>
      <c r="I32" s="3358"/>
      <c r="J32" s="3359"/>
    </row>
    <row r="33" spans="1:10" ht="15.75">
      <c r="A33" s="202"/>
      <c r="B33" s="3343" t="s">
        <v>213</v>
      </c>
      <c r="C33" s="3344"/>
      <c r="D33" s="3344"/>
      <c r="E33" s="3344"/>
      <c r="F33" s="3345"/>
      <c r="G33" s="3357" t="s">
        <v>1575</v>
      </c>
      <c r="H33" s="3358"/>
      <c r="I33" s="3358"/>
      <c r="J33" s="3359"/>
    </row>
    <row r="34" spans="1:10" ht="15.75">
      <c r="A34" s="202"/>
      <c r="B34" s="3343" t="s">
        <v>214</v>
      </c>
      <c r="C34" s="3344"/>
      <c r="D34" s="3344"/>
      <c r="E34" s="3344"/>
      <c r="F34" s="3345"/>
      <c r="G34" s="3357" t="s">
        <v>1583</v>
      </c>
      <c r="H34" s="3358"/>
      <c r="I34" s="3358"/>
      <c r="J34" s="3359"/>
    </row>
    <row r="35" spans="1:10" ht="15.75">
      <c r="A35" s="202"/>
      <c r="B35" s="3343" t="s">
        <v>215</v>
      </c>
      <c r="C35" s="3344"/>
      <c r="D35" s="3344"/>
      <c r="E35" s="3344"/>
      <c r="F35" s="3345"/>
      <c r="G35" s="3357" t="s">
        <v>1573</v>
      </c>
      <c r="H35" s="3358"/>
      <c r="I35" s="3358"/>
      <c r="J35" s="3359"/>
    </row>
    <row r="36" spans="1:10" ht="15.75">
      <c r="A36" s="202"/>
      <c r="B36" s="3343" t="s">
        <v>216</v>
      </c>
      <c r="C36" s="3344"/>
      <c r="D36" s="3344"/>
      <c r="E36" s="3344"/>
      <c r="F36" s="3345"/>
      <c r="G36" s="3360" t="s">
        <v>1584</v>
      </c>
      <c r="H36" s="3361"/>
      <c r="I36" s="3361"/>
      <c r="J36" s="3362"/>
    </row>
    <row r="37" spans="1:10" ht="15.75">
      <c r="A37" s="202" t="s">
        <v>218</v>
      </c>
      <c r="B37" s="3346" t="s">
        <v>930</v>
      </c>
      <c r="C37" s="3347"/>
      <c r="D37" s="3347"/>
      <c r="E37" s="3347"/>
      <c r="F37" s="3348"/>
      <c r="G37" s="3357" t="s">
        <v>1576</v>
      </c>
      <c r="H37" s="3358"/>
      <c r="I37" s="3358"/>
      <c r="J37" s="3359"/>
    </row>
    <row r="38" spans="1:10" ht="15.75">
      <c r="A38" s="202"/>
      <c r="B38" s="3343" t="s">
        <v>213</v>
      </c>
      <c r="C38" s="3344"/>
      <c r="D38" s="3344"/>
      <c r="E38" s="3344"/>
      <c r="F38" s="3345"/>
      <c r="G38" s="3357" t="s">
        <v>1577</v>
      </c>
      <c r="H38" s="3358"/>
      <c r="I38" s="3358"/>
      <c r="J38" s="3359"/>
    </row>
    <row r="39" spans="1:10" ht="15.75">
      <c r="A39" s="202"/>
      <c r="B39" s="3343" t="s">
        <v>214</v>
      </c>
      <c r="C39" s="3344"/>
      <c r="D39" s="3344"/>
      <c r="E39" s="3344"/>
      <c r="F39" s="3345"/>
      <c r="G39" s="3357" t="s">
        <v>1578</v>
      </c>
      <c r="H39" s="3358"/>
      <c r="I39" s="3358"/>
      <c r="J39" s="3359"/>
    </row>
    <row r="40" spans="1:10" ht="15.75">
      <c r="A40" s="202"/>
      <c r="B40" s="3343" t="s">
        <v>215</v>
      </c>
      <c r="C40" s="3344"/>
      <c r="D40" s="3344"/>
      <c r="E40" s="3344"/>
      <c r="F40" s="3345"/>
      <c r="G40" s="3357" t="s">
        <v>1573</v>
      </c>
      <c r="H40" s="3358"/>
      <c r="I40" s="3358"/>
      <c r="J40" s="3359"/>
    </row>
    <row r="41" spans="1:10" ht="15.75">
      <c r="A41" s="202"/>
      <c r="B41" s="3343" t="s">
        <v>216</v>
      </c>
      <c r="C41" s="3344"/>
      <c r="D41" s="3344"/>
      <c r="E41" s="3344"/>
      <c r="F41" s="3345"/>
      <c r="G41" s="3360" t="s">
        <v>1579</v>
      </c>
      <c r="H41" s="3361"/>
      <c r="I41" s="3361"/>
      <c r="J41" s="3362"/>
    </row>
    <row r="42" spans="1:10" ht="15.75">
      <c r="A42" s="202" t="s">
        <v>219</v>
      </c>
      <c r="B42" s="3346" t="s">
        <v>1513</v>
      </c>
      <c r="C42" s="3347"/>
      <c r="D42" s="3347"/>
      <c r="E42" s="3347"/>
      <c r="F42" s="3348"/>
      <c r="G42" s="3357" t="s">
        <v>1580</v>
      </c>
      <c r="H42" s="3358"/>
      <c r="I42" s="3358"/>
      <c r="J42" s="3359"/>
    </row>
    <row r="43" spans="1:10" ht="15.75">
      <c r="A43" s="202"/>
      <c r="B43" s="3343" t="s">
        <v>213</v>
      </c>
      <c r="C43" s="3344"/>
      <c r="D43" s="3344"/>
      <c r="E43" s="3344"/>
      <c r="F43" s="3345"/>
      <c r="G43" s="3357" t="s">
        <v>1572</v>
      </c>
      <c r="H43" s="3358"/>
      <c r="I43" s="3358"/>
      <c r="J43" s="3359"/>
    </row>
    <row r="44" spans="1:10" ht="15.75">
      <c r="A44" s="202"/>
      <c r="B44" s="3343" t="s">
        <v>214</v>
      </c>
      <c r="C44" s="3344"/>
      <c r="D44" s="3344"/>
      <c r="E44" s="3344"/>
      <c r="F44" s="3345"/>
      <c r="G44" s="3357" t="s">
        <v>1581</v>
      </c>
      <c r="H44" s="3358"/>
      <c r="I44" s="3358"/>
      <c r="J44" s="3359"/>
    </row>
    <row r="45" spans="1:10" ht="15.75">
      <c r="A45" s="202"/>
      <c r="B45" s="3343" t="s">
        <v>215</v>
      </c>
      <c r="C45" s="3344"/>
      <c r="D45" s="3344"/>
      <c r="E45" s="3344"/>
      <c r="F45" s="3345"/>
      <c r="G45" s="3357" t="s">
        <v>1573</v>
      </c>
      <c r="H45" s="3358"/>
      <c r="I45" s="3358"/>
      <c r="J45" s="3359"/>
    </row>
    <row r="46" spans="1:10" ht="15.75">
      <c r="A46" s="202"/>
      <c r="B46" s="3343" t="s">
        <v>216</v>
      </c>
      <c r="C46" s="3344"/>
      <c r="D46" s="3344"/>
      <c r="E46" s="3344"/>
      <c r="F46" s="3345"/>
      <c r="G46" s="3360" t="s">
        <v>1582</v>
      </c>
      <c r="H46" s="3361"/>
      <c r="I46" s="3361"/>
      <c r="J46" s="3362"/>
    </row>
    <row r="47" spans="1:10" ht="15.75">
      <c r="A47" s="202" t="s">
        <v>220</v>
      </c>
      <c r="B47" s="3346" t="s">
        <v>221</v>
      </c>
      <c r="C47" s="3347"/>
      <c r="D47" s="3347"/>
      <c r="E47" s="3347"/>
      <c r="F47" s="3348"/>
      <c r="G47" s="3357" t="s">
        <v>1585</v>
      </c>
      <c r="H47" s="3358"/>
      <c r="I47" s="3358"/>
      <c r="J47" s="3359"/>
    </row>
    <row r="48" spans="1:10" ht="15.75">
      <c r="A48" s="202"/>
      <c r="B48" s="3343" t="s">
        <v>213</v>
      </c>
      <c r="C48" s="3344"/>
      <c r="D48" s="3344"/>
      <c r="E48" s="3344"/>
      <c r="F48" s="3345"/>
      <c r="G48" s="3357" t="s">
        <v>1572</v>
      </c>
      <c r="H48" s="3358"/>
      <c r="I48" s="3358"/>
      <c r="J48" s="3359"/>
    </row>
    <row r="49" spans="1:11" ht="15.75">
      <c r="A49" s="202"/>
      <c r="B49" s="3343" t="s">
        <v>215</v>
      </c>
      <c r="C49" s="3344"/>
      <c r="D49" s="3344"/>
      <c r="E49" s="3344"/>
      <c r="F49" s="3345"/>
      <c r="G49" s="3357" t="s">
        <v>1573</v>
      </c>
      <c r="H49" s="3358"/>
      <c r="I49" s="3358"/>
      <c r="J49" s="3359"/>
    </row>
    <row r="50" spans="1:11" ht="16.5" thickBot="1">
      <c r="A50" s="209"/>
      <c r="B50" s="3349" t="s">
        <v>216</v>
      </c>
      <c r="C50" s="3350"/>
      <c r="D50" s="3350"/>
      <c r="E50" s="3350"/>
      <c r="F50" s="3351"/>
      <c r="G50" s="3363" t="s">
        <v>1574</v>
      </c>
      <c r="H50" s="3364"/>
      <c r="I50" s="3364"/>
      <c r="J50" s="3365"/>
    </row>
    <row r="52" spans="1:11" ht="22.5" customHeight="1"/>
    <row r="53" spans="1:11">
      <c r="H53" s="210" t="str">
        <f>'Приложение '!H56</f>
        <v>Главен счетоводител:</v>
      </c>
      <c r="I53" s="211" t="s">
        <v>4</v>
      </c>
      <c r="K53" s="212"/>
    </row>
    <row r="54" spans="1:11">
      <c r="B54" s="213" t="str">
        <f>'Приложение '!B56</f>
        <v>Дата: 27.08.2018 г.</v>
      </c>
      <c r="G54" s="214"/>
      <c r="H54" s="215"/>
      <c r="I54" s="216"/>
      <c r="J54" s="217" t="s">
        <v>5</v>
      </c>
    </row>
    <row r="55" spans="1:11">
      <c r="B55" s="213"/>
      <c r="G55" s="214"/>
      <c r="H55" s="215"/>
      <c r="I55" s="216"/>
      <c r="J55" s="217"/>
    </row>
    <row r="56" spans="1:11">
      <c r="B56" s="213"/>
      <c r="G56" s="214"/>
      <c r="H56" s="215"/>
      <c r="I56" s="216"/>
      <c r="J56" s="217"/>
    </row>
    <row r="57" spans="1:11">
      <c r="F57" s="218"/>
      <c r="G57" s="219"/>
      <c r="H57" s="210" t="str">
        <f>'Приложение '!H60</f>
        <v>Управител:</v>
      </c>
      <c r="I57" s="211" t="s">
        <v>4</v>
      </c>
      <c r="J57" s="220"/>
      <c r="K57" s="216"/>
    </row>
    <row r="58" spans="1:11">
      <c r="F58" s="216"/>
      <c r="G58" s="216"/>
      <c r="H58" s="210"/>
      <c r="J58" s="217" t="s">
        <v>6</v>
      </c>
      <c r="K58" s="216"/>
    </row>
    <row r="59" spans="1:11">
      <c r="F59" s="216"/>
      <c r="G59" s="216"/>
      <c r="H59" s="215"/>
      <c r="I59" s="216"/>
      <c r="K59" s="221"/>
    </row>
    <row r="60" spans="1:11" s="224" customFormat="1" ht="15.75">
      <c r="A60" s="214" t="s">
        <v>757</v>
      </c>
      <c r="F60" s="225"/>
      <c r="G60" s="226"/>
      <c r="H60" s="225"/>
      <c r="I60" s="227"/>
    </row>
    <row r="61" spans="1:11" s="220" customFormat="1">
      <c r="A61" s="228" t="s">
        <v>248</v>
      </c>
      <c r="B61" s="229"/>
      <c r="C61" s="229"/>
      <c r="D61" s="229"/>
      <c r="E61" s="230"/>
      <c r="F61" s="230"/>
      <c r="G61" s="230"/>
    </row>
    <row r="62" spans="1:11">
      <c r="F62" s="218"/>
      <c r="G62" s="222"/>
      <c r="H62" s="218"/>
      <c r="I62" s="223"/>
    </row>
  </sheetData>
  <sheetProtection password="C6DB" sheet="1" objects="1" scenarios="1" formatCells="0" formatColumns="0"/>
  <mergeCells count="87">
    <mergeCell ref="G50:J50"/>
    <mergeCell ref="G45:J45"/>
    <mergeCell ref="G46:J46"/>
    <mergeCell ref="G47:J47"/>
    <mergeCell ref="G48:J48"/>
    <mergeCell ref="G49:J49"/>
    <mergeCell ref="G40:J40"/>
    <mergeCell ref="G41:J41"/>
    <mergeCell ref="G42:J42"/>
    <mergeCell ref="G43:J43"/>
    <mergeCell ref="G44:J44"/>
    <mergeCell ref="G35:J35"/>
    <mergeCell ref="G36:J36"/>
    <mergeCell ref="G37:J37"/>
    <mergeCell ref="G38:J38"/>
    <mergeCell ref="G39:J39"/>
    <mergeCell ref="G30:J30"/>
    <mergeCell ref="G31:J31"/>
    <mergeCell ref="G32:J32"/>
    <mergeCell ref="G33:J33"/>
    <mergeCell ref="G34:J34"/>
    <mergeCell ref="G23:I23"/>
    <mergeCell ref="G25:J25"/>
    <mergeCell ref="G27:J27"/>
    <mergeCell ref="G28:J28"/>
    <mergeCell ref="G29:J29"/>
    <mergeCell ref="G18:I18"/>
    <mergeCell ref="G19:I19"/>
    <mergeCell ref="G20:I20"/>
    <mergeCell ref="G21:I21"/>
    <mergeCell ref="G22:I22"/>
    <mergeCell ref="G13:J13"/>
    <mergeCell ref="G14:J14"/>
    <mergeCell ref="G15:J15"/>
    <mergeCell ref="G16:J16"/>
    <mergeCell ref="G17:I17"/>
    <mergeCell ref="B50:F50"/>
    <mergeCell ref="B39:F39"/>
    <mergeCell ref="B40:F40"/>
    <mergeCell ref="B41:F41"/>
    <mergeCell ref="B42:F42"/>
    <mergeCell ref="B43:F43"/>
    <mergeCell ref="B44:F44"/>
    <mergeCell ref="B45:F45"/>
    <mergeCell ref="B46:F46"/>
    <mergeCell ref="B47:F47"/>
    <mergeCell ref="B48:F48"/>
    <mergeCell ref="B49:F49"/>
    <mergeCell ref="B38:F38"/>
    <mergeCell ref="B27:F27"/>
    <mergeCell ref="B28:F28"/>
    <mergeCell ref="B29:F29"/>
    <mergeCell ref="B30:F30"/>
    <mergeCell ref="B31:F31"/>
    <mergeCell ref="B32:F32"/>
    <mergeCell ref="B33:F33"/>
    <mergeCell ref="B34:F34"/>
    <mergeCell ref="B35:F35"/>
    <mergeCell ref="B36:F36"/>
    <mergeCell ref="B37:F37"/>
    <mergeCell ref="B26:F26"/>
    <mergeCell ref="B13:F13"/>
    <mergeCell ref="B14:F14"/>
    <mergeCell ref="B15:F15"/>
    <mergeCell ref="B16:F16"/>
    <mergeCell ref="B17:F17"/>
    <mergeCell ref="B20:F20"/>
    <mergeCell ref="B21:F21"/>
    <mergeCell ref="B22:F22"/>
    <mergeCell ref="B23:F23"/>
    <mergeCell ref="B24:F24"/>
    <mergeCell ref="B25:F25"/>
    <mergeCell ref="B12:F12"/>
    <mergeCell ref="A2:J2"/>
    <mergeCell ref="A3:J3"/>
    <mergeCell ref="A4:J4"/>
    <mergeCell ref="A6:A7"/>
    <mergeCell ref="B6:J6"/>
    <mergeCell ref="B7:F7"/>
    <mergeCell ref="G7:J7"/>
    <mergeCell ref="B8:F8"/>
    <mergeCell ref="G8:J8"/>
    <mergeCell ref="B9:F9"/>
    <mergeCell ref="B11:F11"/>
    <mergeCell ref="B10:F10"/>
    <mergeCell ref="G11:J11"/>
    <mergeCell ref="G12:J12"/>
  </mergeCells>
  <printOptions horizontalCentered="1"/>
  <pageMargins left="0.94488188976377963" right="0.74803149606299213" top="0.59055118110236227" bottom="0.59055118110236227" header="0.51181102362204722" footer="0.51181102362204722"/>
  <pageSetup paperSize="9" scale="79" orientation="portrait" r:id="rId1"/>
  <headerFooter alignWithMargins="0"/>
  <ignoredErrors>
    <ignoredError sqref="A11:A17 A8:A9" numberStoredAsText="1"/>
    <ignoredError sqref="G9:G10"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X41"/>
  <sheetViews>
    <sheetView showGridLines="0" view="pageBreakPreview" topLeftCell="D1" zoomScaleNormal="100" zoomScaleSheetLayoutView="100" workbookViewId="0">
      <selection activeCell="M9" sqref="M9"/>
    </sheetView>
  </sheetViews>
  <sheetFormatPr defaultRowHeight="12.75"/>
  <cols>
    <col min="1" max="1" width="6.42578125" customWidth="1"/>
    <col min="2" max="2" width="47" customWidth="1"/>
    <col min="3" max="3" width="10.28515625" style="1771" customWidth="1"/>
    <col min="4" max="4" width="7.5703125" style="1771" customWidth="1"/>
    <col min="5" max="5" width="7.140625" style="1771" customWidth="1"/>
    <col min="6" max="6" width="6.42578125" style="1771" customWidth="1"/>
    <col min="7" max="7" width="7" style="1771" customWidth="1"/>
    <col min="8" max="10" width="7.7109375" style="1771" customWidth="1"/>
    <col min="11" max="12" width="6" style="1771" bestFit="1" customWidth="1"/>
    <col min="13" max="13" width="6.42578125" style="1771" customWidth="1"/>
    <col min="14" max="14" width="6.5703125" style="1771" customWidth="1"/>
    <col min="15" max="15" width="6.42578125" style="1771" customWidth="1"/>
    <col min="16" max="16" width="6.7109375" style="1771" customWidth="1"/>
    <col min="17" max="17" width="6.5703125" style="1771" customWidth="1"/>
    <col min="18" max="19" width="6" style="1771" customWidth="1"/>
    <col min="20" max="21" width="6.42578125" style="1771" customWidth="1"/>
    <col min="22" max="22" width="6.5703125" style="1771" customWidth="1"/>
    <col min="23" max="23" width="6.42578125" style="1771" customWidth="1"/>
    <col min="24" max="24" width="7" style="1771"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50" t="s">
        <v>745</v>
      </c>
    </row>
    <row r="2" spans="1:24" s="70" customFormat="1" ht="18.75">
      <c r="A2" s="3670" t="s">
        <v>746</v>
      </c>
      <c r="B2" s="3670"/>
      <c r="C2" s="3670"/>
      <c r="D2" s="3670"/>
      <c r="E2" s="3670"/>
      <c r="F2" s="3670"/>
      <c r="G2" s="3670"/>
      <c r="H2" s="3670"/>
      <c r="I2" s="3670"/>
      <c r="J2" s="3670"/>
      <c r="K2" s="3670"/>
      <c r="L2" s="3670"/>
      <c r="M2" s="3670"/>
      <c r="N2" s="3670"/>
      <c r="O2" s="3670"/>
      <c r="P2" s="3670"/>
      <c r="Q2" s="3670"/>
      <c r="R2" s="3670"/>
      <c r="S2" s="3670"/>
      <c r="T2" s="3670"/>
      <c r="U2" s="3670"/>
      <c r="V2" s="3670"/>
      <c r="W2" s="3670"/>
      <c r="X2" s="3670"/>
    </row>
    <row r="3" spans="1:24" ht="18.75">
      <c r="A3" s="3670" t="s">
        <v>1420</v>
      </c>
      <c r="B3" s="3670"/>
      <c r="C3" s="3670"/>
      <c r="D3" s="3670"/>
      <c r="E3" s="3670"/>
      <c r="F3" s="3670"/>
      <c r="G3" s="3670"/>
      <c r="H3" s="3670"/>
      <c r="I3" s="3670"/>
      <c r="J3" s="3670"/>
      <c r="K3" s="3670"/>
      <c r="L3" s="3670"/>
      <c r="M3" s="3670"/>
      <c r="N3" s="3670"/>
      <c r="O3" s="3670"/>
      <c r="P3" s="3670"/>
      <c r="Q3" s="3670"/>
      <c r="R3" s="3670"/>
      <c r="S3" s="3670"/>
      <c r="T3" s="3670"/>
      <c r="U3" s="3670"/>
      <c r="V3" s="3670"/>
      <c r="W3" s="3670"/>
      <c r="X3" s="3670"/>
    </row>
    <row r="4" spans="1:24" s="126" customFormat="1" ht="15" customHeight="1">
      <c r="A4" s="3671" t="str">
        <f>'1. Анкетна карта'!A3:J3</f>
        <v>на "Водоснабдяване и канализация" ЕООД , гр. Благоевград</v>
      </c>
      <c r="B4" s="3671"/>
      <c r="C4" s="3671"/>
      <c r="D4" s="3671"/>
      <c r="E4" s="3671"/>
      <c r="F4" s="3671"/>
      <c r="G4" s="3671"/>
      <c r="H4" s="3671"/>
      <c r="I4" s="3671"/>
      <c r="J4" s="3671"/>
      <c r="K4" s="3671"/>
      <c r="L4" s="3671"/>
      <c r="M4" s="3671"/>
      <c r="N4" s="3671"/>
      <c r="O4" s="3671"/>
      <c r="P4" s="3671"/>
      <c r="Q4" s="3671"/>
      <c r="R4" s="3671"/>
      <c r="S4" s="3671"/>
      <c r="T4" s="3671"/>
      <c r="U4" s="3671"/>
      <c r="V4" s="3671"/>
      <c r="W4" s="3671"/>
      <c r="X4" s="3671"/>
    </row>
    <row r="5" spans="1:24" s="126" customFormat="1" ht="13.5" customHeight="1">
      <c r="A5" s="3671" t="str">
        <f>'1. Анкетна карта'!A4:J4</f>
        <v>ЕИК по БУЛСТАТ: 811047831</v>
      </c>
      <c r="B5" s="3671"/>
      <c r="C5" s="3671"/>
      <c r="D5" s="3671"/>
      <c r="E5" s="3671"/>
      <c r="F5" s="3671"/>
      <c r="G5" s="3671"/>
      <c r="H5" s="3671"/>
      <c r="I5" s="3671"/>
      <c r="J5" s="3671"/>
      <c r="K5" s="3671"/>
      <c r="L5" s="3671"/>
      <c r="M5" s="3671"/>
      <c r="N5" s="3671"/>
      <c r="O5" s="3671"/>
      <c r="P5" s="3671"/>
      <c r="Q5" s="3671"/>
      <c r="R5" s="3671"/>
      <c r="S5" s="3671"/>
      <c r="T5" s="3671"/>
      <c r="U5" s="3671"/>
      <c r="V5" s="3671"/>
      <c r="W5" s="3671"/>
      <c r="X5" s="3671"/>
    </row>
    <row r="6" spans="1:24" ht="13.5" customHeight="1" thickBot="1">
      <c r="A6" s="156"/>
      <c r="B6" s="156"/>
      <c r="C6" s="156"/>
      <c r="D6" s="1178"/>
      <c r="E6" s="1178"/>
      <c r="F6" s="1178"/>
      <c r="G6" s="1178"/>
      <c r="H6" s="1178"/>
      <c r="I6" s="1178"/>
      <c r="J6" s="1178"/>
      <c r="K6" s="1178"/>
      <c r="L6" s="1178"/>
      <c r="M6" s="156"/>
      <c r="N6" s="156"/>
      <c r="O6" s="156"/>
      <c r="P6" s="156"/>
      <c r="Q6" s="156"/>
      <c r="R6" s="156"/>
      <c r="S6" s="156"/>
      <c r="T6" s="156"/>
      <c r="U6" s="156"/>
      <c r="V6" s="156"/>
      <c r="W6" s="156"/>
      <c r="X6" s="156"/>
    </row>
    <row r="7" spans="1:24" ht="13.5" customHeight="1">
      <c r="A7" s="3664" t="s">
        <v>1</v>
      </c>
      <c r="B7" s="3666" t="s">
        <v>359</v>
      </c>
      <c r="C7" s="3668" t="s">
        <v>222</v>
      </c>
      <c r="D7" s="3672" t="s">
        <v>273</v>
      </c>
      <c r="E7" s="3673"/>
      <c r="F7" s="3673"/>
      <c r="G7" s="3673"/>
      <c r="H7" s="3673"/>
      <c r="I7" s="3673"/>
      <c r="J7" s="3674"/>
      <c r="K7" s="3672" t="s">
        <v>230</v>
      </c>
      <c r="L7" s="3673"/>
      <c r="M7" s="3673"/>
      <c r="N7" s="3673"/>
      <c r="O7" s="3673"/>
      <c r="P7" s="3673"/>
      <c r="Q7" s="3674"/>
      <c r="R7" s="3672" t="s">
        <v>241</v>
      </c>
      <c r="S7" s="3673"/>
      <c r="T7" s="3673"/>
      <c r="U7" s="3673"/>
      <c r="V7" s="3673"/>
      <c r="W7" s="3673"/>
      <c r="X7" s="3674"/>
    </row>
    <row r="8" spans="1:24" ht="13.5" thickBot="1">
      <c r="A8" s="3665"/>
      <c r="B8" s="3667"/>
      <c r="C8" s="3669"/>
      <c r="D8" s="2414" t="str">
        <f>'Приложение '!$G12</f>
        <v>2015 г.</v>
      </c>
      <c r="E8" s="2415" t="str">
        <f>'Приложение '!$G13</f>
        <v>2016 г.</v>
      </c>
      <c r="F8" s="2418" t="str">
        <f>'Приложение '!$G14</f>
        <v>2017 г.</v>
      </c>
      <c r="G8" s="2418" t="str">
        <f>'Приложение '!$G15</f>
        <v>2018 г.</v>
      </c>
      <c r="H8" s="2418" t="str">
        <f>'Приложение '!$G16</f>
        <v>2019 г.</v>
      </c>
      <c r="I8" s="2418" t="str">
        <f>'Приложение '!$G17</f>
        <v>2020 г.</v>
      </c>
      <c r="J8" s="2419" t="str">
        <f>'Приложение '!$G18</f>
        <v>2021 г.</v>
      </c>
      <c r="K8" s="2082" t="str">
        <f t="shared" ref="K8:X8" si="0">D8</f>
        <v>2015 г.</v>
      </c>
      <c r="L8" s="2080" t="str">
        <f t="shared" si="0"/>
        <v>2016 г.</v>
      </c>
      <c r="M8" s="2080" t="str">
        <f t="shared" si="0"/>
        <v>2017 г.</v>
      </c>
      <c r="N8" s="2080" t="str">
        <f t="shared" si="0"/>
        <v>2018 г.</v>
      </c>
      <c r="O8" s="2080" t="str">
        <f t="shared" si="0"/>
        <v>2019 г.</v>
      </c>
      <c r="P8" s="2080" t="str">
        <f t="shared" si="0"/>
        <v>2020 г.</v>
      </c>
      <c r="Q8" s="2081" t="str">
        <f t="shared" si="0"/>
        <v>2021 г.</v>
      </c>
      <c r="R8" s="2082" t="str">
        <f t="shared" si="0"/>
        <v>2015 г.</v>
      </c>
      <c r="S8" s="2080" t="str">
        <f t="shared" si="0"/>
        <v>2016 г.</v>
      </c>
      <c r="T8" s="2080" t="str">
        <f t="shared" si="0"/>
        <v>2017 г.</v>
      </c>
      <c r="U8" s="2080" t="str">
        <f t="shared" si="0"/>
        <v>2018 г.</v>
      </c>
      <c r="V8" s="2080" t="str">
        <f t="shared" si="0"/>
        <v>2019 г.</v>
      </c>
      <c r="W8" s="2080" t="str">
        <f t="shared" si="0"/>
        <v>2020 г.</v>
      </c>
      <c r="X8" s="2081" t="str">
        <f t="shared" si="0"/>
        <v>2021 г.</v>
      </c>
    </row>
    <row r="9" spans="1:24" ht="15" customHeight="1">
      <c r="A9" s="1007">
        <v>1</v>
      </c>
      <c r="B9" s="1008" t="s">
        <v>360</v>
      </c>
      <c r="C9" s="1009" t="s">
        <v>361</v>
      </c>
      <c r="D9" s="804">
        <v>473</v>
      </c>
      <c r="E9" s="801">
        <v>655</v>
      </c>
      <c r="F9" s="2420">
        <f>'19. HB'!F30</f>
        <v>709.06702603114013</v>
      </c>
      <c r="G9" s="2421">
        <f>'19. HB'!G30</f>
        <v>878.6014105022665</v>
      </c>
      <c r="H9" s="2421">
        <f>'19. HB'!H30</f>
        <v>1038.2086236023756</v>
      </c>
      <c r="I9" s="2421">
        <f>'19. HB'!I30</f>
        <v>1269.7445840143819</v>
      </c>
      <c r="J9" s="2422">
        <f>'19. HB'!J30</f>
        <v>1417.9732933016858</v>
      </c>
      <c r="K9" s="804">
        <v>52</v>
      </c>
      <c r="L9" s="801">
        <v>65</v>
      </c>
      <c r="M9" s="2420">
        <f>'19. HB'!F31</f>
        <v>138.63774452078749</v>
      </c>
      <c r="N9" s="2421">
        <f>'19. HB'!G31</f>
        <v>148.1483596015598</v>
      </c>
      <c r="O9" s="2421">
        <f>'19. HB'!H31</f>
        <v>198.14633455158756</v>
      </c>
      <c r="P9" s="2421">
        <f>'19. HB'!I31</f>
        <v>302.7524099096342</v>
      </c>
      <c r="Q9" s="2422">
        <f>'19. HB'!J31</f>
        <v>379.12167096198687</v>
      </c>
      <c r="R9" s="781">
        <v>26</v>
      </c>
      <c r="S9" s="781">
        <v>38</v>
      </c>
      <c r="T9" s="2078">
        <f>'19. HB'!F32</f>
        <v>48.674681736656943</v>
      </c>
      <c r="U9" s="2078">
        <f>'19. HB'!G32</f>
        <v>76.972115351272336</v>
      </c>
      <c r="V9" s="2078">
        <f>'19. HB'!H32</f>
        <v>95.414808943144791</v>
      </c>
      <c r="W9" s="2078">
        <f>'19. HB'!I32</f>
        <v>100.11243669698834</v>
      </c>
      <c r="X9" s="2079">
        <f>'19. HB'!J32</f>
        <v>102.48413118625101</v>
      </c>
    </row>
    <row r="10" spans="1:24" ht="15" customHeight="1">
      <c r="A10" s="1010">
        <v>2</v>
      </c>
      <c r="B10" s="1011" t="s">
        <v>362</v>
      </c>
      <c r="C10" s="1012" t="s">
        <v>361</v>
      </c>
      <c r="D10" s="780">
        <v>10013</v>
      </c>
      <c r="E10" s="781">
        <v>10098</v>
      </c>
      <c r="F10" s="1786">
        <f>'12. Разходи'!E84</f>
        <v>11569.740501294102</v>
      </c>
      <c r="G10" s="1784">
        <f>'12. Разходи'!F84</f>
        <v>12228.00499166493</v>
      </c>
      <c r="H10" s="1784">
        <f>'12. Разходи'!G84</f>
        <v>12581.357786896751</v>
      </c>
      <c r="I10" s="1784">
        <f>'12. Разходи'!H84</f>
        <v>15371.312513235513</v>
      </c>
      <c r="J10" s="1785">
        <f>'12. Разходи'!I84</f>
        <v>15295.139610961598</v>
      </c>
      <c r="K10" s="780">
        <v>859</v>
      </c>
      <c r="L10" s="781">
        <v>875</v>
      </c>
      <c r="M10" s="1786">
        <f>'12. Разходи'!L84</f>
        <v>931.64349502792538</v>
      </c>
      <c r="N10" s="1784">
        <f>'12. Разходи'!M84</f>
        <v>1163.2868453844551</v>
      </c>
      <c r="O10" s="1784">
        <f>'12. Разходи'!N84</f>
        <v>1690.5885774248181</v>
      </c>
      <c r="P10" s="1784">
        <f>'12. Разходи'!O84</f>
        <v>2166.87369212258</v>
      </c>
      <c r="Q10" s="1785">
        <f>'12. Разходи'!P84</f>
        <v>2165.4331395581198</v>
      </c>
      <c r="R10" s="781">
        <v>1508</v>
      </c>
      <c r="S10" s="781">
        <v>1507</v>
      </c>
      <c r="T10" s="1784">
        <f>'12. Разходи'!S84</f>
        <v>1659.2130036779731</v>
      </c>
      <c r="U10" s="1784">
        <f>'12. Разходи'!T84</f>
        <v>1861.4901629506148</v>
      </c>
      <c r="V10" s="1784">
        <f>'12. Разходи'!U84</f>
        <v>2412.9476356784303</v>
      </c>
      <c r="W10" s="1784">
        <f>'12. Разходи'!V84</f>
        <v>2496.2187946419062</v>
      </c>
      <c r="X10" s="1785">
        <f>'12. Разходи'!W84</f>
        <v>2526.8032494802828</v>
      </c>
    </row>
    <row r="11" spans="1:24" ht="15" customHeight="1">
      <c r="A11" s="1010">
        <v>3</v>
      </c>
      <c r="B11" s="1011" t="s">
        <v>363</v>
      </c>
      <c r="C11" s="1012" t="s">
        <v>361</v>
      </c>
      <c r="D11" s="1787">
        <f t="shared" ref="D11:X11" si="1">D9+D10</f>
        <v>10486</v>
      </c>
      <c r="E11" s="1788">
        <f t="shared" si="1"/>
        <v>10753</v>
      </c>
      <c r="F11" s="1788">
        <f t="shared" si="1"/>
        <v>12278.807527325242</v>
      </c>
      <c r="G11" s="1788">
        <f t="shared" si="1"/>
        <v>13106.606402167195</v>
      </c>
      <c r="H11" s="1788">
        <f t="shared" si="1"/>
        <v>13619.566410499127</v>
      </c>
      <c r="I11" s="1788">
        <f t="shared" si="1"/>
        <v>16641.057097249894</v>
      </c>
      <c r="J11" s="1789">
        <f t="shared" si="1"/>
        <v>16713.112904263282</v>
      </c>
      <c r="K11" s="1787">
        <f t="shared" si="1"/>
        <v>911</v>
      </c>
      <c r="L11" s="1790">
        <f t="shared" si="1"/>
        <v>940</v>
      </c>
      <c r="M11" s="1790">
        <f t="shared" si="1"/>
        <v>1070.2812395487128</v>
      </c>
      <c r="N11" s="1788">
        <f t="shared" si="1"/>
        <v>1311.4352049860149</v>
      </c>
      <c r="O11" s="1788">
        <f t="shared" si="1"/>
        <v>1888.7349119764058</v>
      </c>
      <c r="P11" s="1788">
        <f t="shared" si="1"/>
        <v>2469.626102032214</v>
      </c>
      <c r="Q11" s="1789">
        <f t="shared" si="1"/>
        <v>2544.5548105201069</v>
      </c>
      <c r="R11" s="1787">
        <f t="shared" si="1"/>
        <v>1534</v>
      </c>
      <c r="S11" s="1790">
        <f t="shared" si="1"/>
        <v>1545</v>
      </c>
      <c r="T11" s="1788">
        <f t="shared" si="1"/>
        <v>1707.8876854146301</v>
      </c>
      <c r="U11" s="1788">
        <f t="shared" si="1"/>
        <v>1938.4622783018872</v>
      </c>
      <c r="V11" s="1788">
        <f t="shared" si="1"/>
        <v>2508.3624446215749</v>
      </c>
      <c r="W11" s="1788">
        <f t="shared" si="1"/>
        <v>2596.3312313388947</v>
      </c>
      <c r="X11" s="1789">
        <f t="shared" si="1"/>
        <v>2629.2873806665339</v>
      </c>
    </row>
    <row r="12" spans="1:24" ht="15" customHeight="1">
      <c r="A12" s="1013" t="s">
        <v>111</v>
      </c>
      <c r="B12" s="1011" t="s">
        <v>489</v>
      </c>
      <c r="C12" s="1014" t="s">
        <v>1210</v>
      </c>
      <c r="D12" s="1787">
        <f>('4. Отчет и прогн. потребление'!D10-'4. Отчет и прогн. потребление'!D48)/1000</f>
        <v>10563.162</v>
      </c>
      <c r="E12" s="1788">
        <f>('4. Отчет и прогн. потребление'!E10-'4. Отчет и прогн. потребление'!E48)/1000</f>
        <v>10448.161</v>
      </c>
      <c r="F12" s="1788">
        <f>('4. Отчет и прогн. потребление'!F10-'4. Отчет и прогн. потребление'!F48)/1000</f>
        <v>10555.293</v>
      </c>
      <c r="G12" s="1788">
        <f>('4. Отчет и прогн. потребление'!G10-'4. Отчет и прогн. потребление'!G48)/1000</f>
        <v>10587.898999999999</v>
      </c>
      <c r="H12" s="1788">
        <f>('4. Отчет и прогн. потребление'!H10-'4. Отчет и прогн. потребление'!H48)/1000</f>
        <v>10773.999</v>
      </c>
      <c r="I12" s="1788">
        <f>('4. Отчет и прогн. потребление'!I10-'4. Отчет и прогн. потребление'!I48)/1000</f>
        <v>13156.576999999999</v>
      </c>
      <c r="J12" s="1789">
        <f>('4. Отчет и прогн. потребление'!J10-'4. Отчет и прогн. потребление'!J48)/1000</f>
        <v>13092.870999999999</v>
      </c>
      <c r="K12" s="1794"/>
      <c r="L12" s="1791"/>
      <c r="M12" s="1791"/>
      <c r="N12" s="1792"/>
      <c r="O12" s="1792"/>
      <c r="P12" s="1792"/>
      <c r="Q12" s="1793"/>
      <c r="R12" s="1794"/>
      <c r="S12" s="1792"/>
      <c r="T12" s="1792"/>
      <c r="U12" s="1792"/>
      <c r="V12" s="1792"/>
      <c r="W12" s="1792"/>
      <c r="X12" s="1793"/>
    </row>
    <row r="13" spans="1:24" ht="15" customHeight="1">
      <c r="A13" s="1015">
        <v>5</v>
      </c>
      <c r="B13" s="1016" t="s">
        <v>364</v>
      </c>
      <c r="C13" s="1014" t="s">
        <v>1210</v>
      </c>
      <c r="D13" s="1794"/>
      <c r="E13" s="1792"/>
      <c r="F13" s="1792"/>
      <c r="G13" s="1792"/>
      <c r="H13" s="1792"/>
      <c r="I13" s="1792"/>
      <c r="J13" s="1793"/>
      <c r="K13" s="1798">
        <f>K14+K15</f>
        <v>8416.2520000000004</v>
      </c>
      <c r="L13" s="1795">
        <f>L14+L15</f>
        <v>8316.3529999999992</v>
      </c>
      <c r="M13" s="1795">
        <f t="shared" ref="M13:S13" si="2">M14+M15</f>
        <v>8461.0489999999991</v>
      </c>
      <c r="N13" s="1796">
        <f t="shared" si="2"/>
        <v>8644.9179999999997</v>
      </c>
      <c r="O13" s="1796">
        <f t="shared" si="2"/>
        <v>8914.5709999999999</v>
      </c>
      <c r="P13" s="1796">
        <f t="shared" si="2"/>
        <v>10964.550999999999</v>
      </c>
      <c r="Q13" s="1797">
        <f t="shared" si="2"/>
        <v>10915.53</v>
      </c>
      <c r="R13" s="1798">
        <f t="shared" si="2"/>
        <v>4607.3060000000005</v>
      </c>
      <c r="S13" s="1796">
        <f t="shared" si="2"/>
        <v>4577.491</v>
      </c>
      <c r="T13" s="1796">
        <f>T14+T15</f>
        <v>4649.7423333333336</v>
      </c>
      <c r="U13" s="1796">
        <f>U14+U15</f>
        <v>4840.0393333333341</v>
      </c>
      <c r="V13" s="1796">
        <f>V14+V15</f>
        <v>5727.3393333333333</v>
      </c>
      <c r="W13" s="1796">
        <f>W14+W15</f>
        <v>5783.3703333333333</v>
      </c>
      <c r="X13" s="1797">
        <f>X14+X15</f>
        <v>5743.1033333333326</v>
      </c>
    </row>
    <row r="14" spans="1:24" ht="15" customHeight="1">
      <c r="A14" s="1017" t="s">
        <v>119</v>
      </c>
      <c r="B14" s="1018" t="s">
        <v>365</v>
      </c>
      <c r="C14" s="1014" t="s">
        <v>1210</v>
      </c>
      <c r="D14" s="1794"/>
      <c r="E14" s="1792"/>
      <c r="F14" s="1792"/>
      <c r="G14" s="1792"/>
      <c r="H14" s="1792"/>
      <c r="I14" s="1792"/>
      <c r="J14" s="1793"/>
      <c r="K14" s="1798">
        <f>'4. Отчет и прогн. потребление'!D55/1000</f>
        <v>5689.192</v>
      </c>
      <c r="L14" s="1795">
        <f>'4. Отчет и прогн. потребление'!E55/1000</f>
        <v>5595.085</v>
      </c>
      <c r="M14" s="1795">
        <f>'4. Отчет и прогн. потребление'!F55/1000</f>
        <v>5721.277</v>
      </c>
      <c r="N14" s="1796">
        <f>'4. Отчет и прогн. потребление'!G55/1000</f>
        <v>5905.1459999999997</v>
      </c>
      <c r="O14" s="1796">
        <f>'4. Отчет и прогн. потребление'!H55/1000</f>
        <v>6174.799</v>
      </c>
      <c r="P14" s="1796">
        <f>'4. Отчет и прогн. потребление'!I55/1000</f>
        <v>7476.9279999999999</v>
      </c>
      <c r="Q14" s="1797">
        <f>'4. Отчет и прогн. потребление'!J55/1000</f>
        <v>7427.9070000000002</v>
      </c>
      <c r="R14" s="1798">
        <f>'4. Отчет и прогн. потребление'!D65/1000</f>
        <v>4018.808</v>
      </c>
      <c r="S14" s="1796">
        <f>'4. Отчет и прогн. потребление'!E65/1000</f>
        <v>3908.0010000000002</v>
      </c>
      <c r="T14" s="1796">
        <f>'4. Отчет и прогн. потребление'!F65/1000</f>
        <v>3997.4189999999999</v>
      </c>
      <c r="U14" s="1796">
        <f>'4. Отчет и прогн. потребление'!G65/1000</f>
        <v>4187.7160000000003</v>
      </c>
      <c r="V14" s="1796">
        <f>'4. Отчет и прогн. потребление'!H65/1000</f>
        <v>5074.7160000000003</v>
      </c>
      <c r="W14" s="1796">
        <f>'4. Отчет и прогн. потребление'!I65/1000</f>
        <v>5130.7470000000003</v>
      </c>
      <c r="X14" s="1797">
        <f>'4. Отчет и прогн. потребление'!J65/1000</f>
        <v>5090.4799999999996</v>
      </c>
    </row>
    <row r="15" spans="1:24" s="2092" customFormat="1" ht="30" customHeight="1">
      <c r="A15" s="1017" t="s">
        <v>124</v>
      </c>
      <c r="B15" s="2088" t="s">
        <v>366</v>
      </c>
      <c r="C15" s="1014" t="s">
        <v>1210</v>
      </c>
      <c r="D15" s="2089"/>
      <c r="E15" s="2090"/>
      <c r="F15" s="2090"/>
      <c r="G15" s="2090"/>
      <c r="H15" s="2090"/>
      <c r="I15" s="2090"/>
      <c r="J15" s="2091"/>
      <c r="K15" s="1822">
        <f>'4. Отчет и прогн. потребление'!D57/1000</f>
        <v>2727.06</v>
      </c>
      <c r="L15" s="1819">
        <f>'4. Отчет и прогн. потребление'!E57/1000</f>
        <v>2721.268</v>
      </c>
      <c r="M15" s="1819">
        <f>'4. Отчет и прогн. потребление'!F57/1000</f>
        <v>2739.7719999999999</v>
      </c>
      <c r="N15" s="1820">
        <f>'4. Отчет и прогн. потребление'!G57/1000</f>
        <v>2739.7719999999999</v>
      </c>
      <c r="O15" s="1820">
        <f>'4. Отчет и прогн. потребление'!H57/1000</f>
        <v>2739.7719999999999</v>
      </c>
      <c r="P15" s="1820">
        <f>'4. Отчет и прогн. потребление'!I57/1000</f>
        <v>3487.623</v>
      </c>
      <c r="Q15" s="1821">
        <f>'4. Отчет и прогн. потребление'!J57/1000</f>
        <v>3487.623</v>
      </c>
      <c r="R15" s="1822">
        <f>'4. Отчет и прогн. потребление'!D67/1000</f>
        <v>588.49800000000005</v>
      </c>
      <c r="S15" s="1820">
        <f>'4. Отчет и прогн. потребление'!E67/1000</f>
        <v>669.49</v>
      </c>
      <c r="T15" s="1820">
        <f>'4. Отчет и прогн. потребление'!F67/1000</f>
        <v>652.32333333333338</v>
      </c>
      <c r="U15" s="1820">
        <f>'4. Отчет и прогн. потребление'!G67/1000</f>
        <v>652.32333333333338</v>
      </c>
      <c r="V15" s="1820">
        <f>'4. Отчет и прогн. потребление'!H67/1000</f>
        <v>652.62333333333299</v>
      </c>
      <c r="W15" s="1820">
        <f>'4. Отчет и прогн. потребление'!I67/1000</f>
        <v>652.62333333333299</v>
      </c>
      <c r="X15" s="1821">
        <f>'4. Отчет и прогн. потребление'!J67/1000</f>
        <v>652.62333333333299</v>
      </c>
    </row>
    <row r="16" spans="1:24" ht="15" customHeight="1">
      <c r="A16" s="1017" t="s">
        <v>880</v>
      </c>
      <c r="B16" s="1019" t="s">
        <v>1381</v>
      </c>
      <c r="C16" s="1014" t="s">
        <v>1210</v>
      </c>
      <c r="D16" s="1794"/>
      <c r="E16" s="1792"/>
      <c r="F16" s="1792"/>
      <c r="G16" s="1792"/>
      <c r="H16" s="1792"/>
      <c r="I16" s="1792"/>
      <c r="J16" s="1793"/>
      <c r="K16" s="2423"/>
      <c r="L16" s="1799"/>
      <c r="M16" s="1791"/>
      <c r="N16" s="1792"/>
      <c r="O16" s="1792"/>
      <c r="P16" s="1792"/>
      <c r="Q16" s="1793"/>
      <c r="R16" s="1798">
        <f>'4. Отчет и прогн. потребление'!D69/1000</f>
        <v>220.64</v>
      </c>
      <c r="S16" s="1796">
        <f>'4. Отчет и прогн. потребление'!E69/1000</f>
        <v>222.709</v>
      </c>
      <c r="T16" s="1796">
        <f>'4. Отчет и прогн. потребление'!F69/1000</f>
        <v>231.96333333333334</v>
      </c>
      <c r="U16" s="1796">
        <f>'4. Отчет и прогн. потребление'!G69/1000</f>
        <v>231.96333333333334</v>
      </c>
      <c r="V16" s="1796">
        <f>'4. Отчет и прогн. потребление'!H69/1000</f>
        <v>232.26333333333298</v>
      </c>
      <c r="W16" s="1796">
        <f>'4. Отчет и прогн. потребление'!I69/1000</f>
        <v>232.26333333333298</v>
      </c>
      <c r="X16" s="1797">
        <f>'4. Отчет и прогн. потребление'!J69/1000</f>
        <v>232.26333333333298</v>
      </c>
    </row>
    <row r="17" spans="1:24" ht="15" customHeight="1">
      <c r="A17" s="1017" t="s">
        <v>881</v>
      </c>
      <c r="B17" s="1019" t="s">
        <v>1382</v>
      </c>
      <c r="C17" s="1014" t="s">
        <v>1210</v>
      </c>
      <c r="D17" s="1794"/>
      <c r="E17" s="1792"/>
      <c r="F17" s="1792"/>
      <c r="G17" s="1792"/>
      <c r="H17" s="1792"/>
      <c r="I17" s="1792"/>
      <c r="J17" s="1793"/>
      <c r="K17" s="2423"/>
      <c r="L17" s="1799"/>
      <c r="M17" s="1791"/>
      <c r="N17" s="1792"/>
      <c r="O17" s="1792"/>
      <c r="P17" s="1792"/>
      <c r="Q17" s="1793"/>
      <c r="R17" s="1798">
        <f>'4. Отчет и прогн. потребление'!D70/1000</f>
        <v>75.665999999999997</v>
      </c>
      <c r="S17" s="1796">
        <f>'4. Отчет и прогн. потребление'!E70/1000</f>
        <v>77.117999999999995</v>
      </c>
      <c r="T17" s="1796">
        <f>'4. Отчет и прогн. потребление'!F70/1000</f>
        <v>76.557000000000002</v>
      </c>
      <c r="U17" s="1796">
        <f>'4. Отчет и прогн. потребление'!G70/1000</f>
        <v>76.557000000000002</v>
      </c>
      <c r="V17" s="1796">
        <f>'4. Отчет и прогн. потребление'!H70/1000</f>
        <v>76.557000000000002</v>
      </c>
      <c r="W17" s="1796">
        <f>'4. Отчет и прогн. потребление'!I70/1000</f>
        <v>76.557000000000002</v>
      </c>
      <c r="X17" s="1797">
        <f>'4. Отчет и прогн. потребление'!J70/1000</f>
        <v>76.557000000000002</v>
      </c>
    </row>
    <row r="18" spans="1:24" ht="15" customHeight="1" thickBot="1">
      <c r="A18" s="1020" t="s">
        <v>882</v>
      </c>
      <c r="B18" s="1021" t="s">
        <v>1383</v>
      </c>
      <c r="C18" s="1022" t="s">
        <v>1210</v>
      </c>
      <c r="D18" s="1800"/>
      <c r="E18" s="1801"/>
      <c r="F18" s="1801"/>
      <c r="G18" s="1801"/>
      <c r="H18" s="1801"/>
      <c r="I18" s="1801"/>
      <c r="J18" s="1802"/>
      <c r="K18" s="2424"/>
      <c r="L18" s="1803"/>
      <c r="M18" s="1804"/>
      <c r="N18" s="1801"/>
      <c r="O18" s="1801"/>
      <c r="P18" s="1801"/>
      <c r="Q18" s="1802"/>
      <c r="R18" s="1805">
        <f>'4. Отчет и прогн. потребление'!D71/1000</f>
        <v>292.19200000000001</v>
      </c>
      <c r="S18" s="1806">
        <f>'4. Отчет и прогн. потребление'!E71/1000</f>
        <v>369.66300000000001</v>
      </c>
      <c r="T18" s="1806">
        <f>'4. Отчет и прогн. потребление'!F71/1000</f>
        <v>343.803</v>
      </c>
      <c r="U18" s="1806">
        <f>'4. Отчет и прогн. потребление'!G71/1000</f>
        <v>343.803</v>
      </c>
      <c r="V18" s="1806">
        <f>'4. Отчет и прогн. потребление'!H71/1000</f>
        <v>343.803</v>
      </c>
      <c r="W18" s="1806">
        <f>'4. Отчет и прогн. потребление'!I71/1000</f>
        <v>343.803</v>
      </c>
      <c r="X18" s="1807">
        <f>'4. Отчет и прогн. потребление'!J71/1000</f>
        <v>343.803</v>
      </c>
    </row>
    <row r="19" spans="1:24" ht="15" customHeight="1">
      <c r="A19" s="72"/>
      <c r="B19" s="73" t="s">
        <v>263</v>
      </c>
      <c r="C19" s="74"/>
      <c r="D19" s="74"/>
      <c r="E19" s="74"/>
      <c r="F19" s="1808"/>
      <c r="G19" s="1809"/>
      <c r="H19" s="1810"/>
      <c r="I19" s="1811"/>
      <c r="J19" s="1811"/>
      <c r="K19" s="1811"/>
      <c r="L19" s="1811"/>
    </row>
    <row r="20" spans="1:24" ht="15" customHeight="1" thickBot="1">
      <c r="A20" s="3675" t="s">
        <v>367</v>
      </c>
      <c r="B20" s="3675"/>
      <c r="C20" s="3675"/>
      <c r="D20" s="1538"/>
      <c r="E20" s="1538"/>
      <c r="F20" s="1808"/>
      <c r="G20" s="1809"/>
      <c r="H20" s="1810"/>
      <c r="I20" s="1811"/>
      <c r="J20" s="1811"/>
      <c r="K20" s="1811"/>
      <c r="L20" s="1811"/>
    </row>
    <row r="21" spans="1:24" ht="15" customHeight="1">
      <c r="A21" s="3677" t="s">
        <v>1</v>
      </c>
      <c r="B21" s="3679" t="s">
        <v>359</v>
      </c>
      <c r="C21" s="3668" t="s">
        <v>222</v>
      </c>
      <c r="D21" s="3661" t="s">
        <v>241</v>
      </c>
      <c r="E21" s="3662"/>
      <c r="F21" s="3662"/>
      <c r="G21" s="3662"/>
      <c r="H21" s="3662"/>
      <c r="I21" s="3662"/>
      <c r="J21" s="3663"/>
    </row>
    <row r="22" spans="1:24" ht="13.5" thickBot="1">
      <c r="A22" s="3678"/>
      <c r="B22" s="3680"/>
      <c r="C22" s="3676"/>
      <c r="D22" s="3160" t="str">
        <f t="shared" ref="D22:J22" si="3">D8</f>
        <v>2015 г.</v>
      </c>
      <c r="E22" s="1023" t="str">
        <f t="shared" si="3"/>
        <v>2016 г.</v>
      </c>
      <c r="F22" s="1023" t="str">
        <f t="shared" si="3"/>
        <v>2017 г.</v>
      </c>
      <c r="G22" s="1023" t="str">
        <f t="shared" si="3"/>
        <v>2018 г.</v>
      </c>
      <c r="H22" s="1023" t="str">
        <f t="shared" si="3"/>
        <v>2019 г.</v>
      </c>
      <c r="I22" s="1023" t="str">
        <f t="shared" si="3"/>
        <v>2020 г.</v>
      </c>
      <c r="J22" s="1024" t="str">
        <f t="shared" si="3"/>
        <v>2021 г.</v>
      </c>
      <c r="N22" s="1812" t="s">
        <v>263</v>
      </c>
    </row>
    <row r="23" spans="1:24" ht="13.5" customHeight="1" thickBot="1">
      <c r="A23" s="2416">
        <v>1</v>
      </c>
      <c r="B23" s="2417" t="s">
        <v>368</v>
      </c>
      <c r="C23" s="1783"/>
      <c r="D23" s="3161"/>
      <c r="E23" s="1783"/>
      <c r="F23" s="1813"/>
      <c r="G23" s="1813"/>
      <c r="H23" s="1813"/>
      <c r="I23" s="1813"/>
      <c r="J23" s="1814"/>
      <c r="K23" s="1815"/>
      <c r="L23" s="1815"/>
      <c r="P23" s="1812" t="s">
        <v>263</v>
      </c>
    </row>
    <row r="24" spans="1:24">
      <c r="A24" s="1025" t="s">
        <v>98</v>
      </c>
      <c r="B24" s="1027" t="s">
        <v>369</v>
      </c>
      <c r="C24" s="2083" t="s">
        <v>1211</v>
      </c>
      <c r="D24" s="2086"/>
      <c r="E24" s="2087"/>
      <c r="F24" s="3157">
        <v>1.29</v>
      </c>
      <c r="G24" s="3157">
        <v>1.29</v>
      </c>
      <c r="H24" s="3157">
        <v>1.29</v>
      </c>
      <c r="I24" s="3157">
        <v>1.29</v>
      </c>
      <c r="J24" s="3157">
        <v>1.29</v>
      </c>
      <c r="K24" s="1179"/>
      <c r="L24" s="1179"/>
    </row>
    <row r="25" spans="1:24">
      <c r="A25" s="77" t="s">
        <v>99</v>
      </c>
      <c r="B25" s="1028" t="s">
        <v>370</v>
      </c>
      <c r="C25" s="2084" t="s">
        <v>1211</v>
      </c>
      <c r="D25" s="1794"/>
      <c r="E25" s="1792"/>
      <c r="F25" s="3158">
        <v>1.65</v>
      </c>
      <c r="G25" s="3158">
        <v>1.65</v>
      </c>
      <c r="H25" s="3158">
        <v>1.65</v>
      </c>
      <c r="I25" s="3158">
        <v>1.65</v>
      </c>
      <c r="J25" s="3158">
        <v>1.65</v>
      </c>
      <c r="K25" s="1179"/>
      <c r="L25" s="1179"/>
    </row>
    <row r="26" spans="1:24" ht="13.5" thickBot="1">
      <c r="A26" s="1026" t="s">
        <v>101</v>
      </c>
      <c r="B26" s="1029" t="s">
        <v>371</v>
      </c>
      <c r="C26" s="2085" t="s">
        <v>1211</v>
      </c>
      <c r="D26" s="1800"/>
      <c r="E26" s="1801"/>
      <c r="F26" s="3159">
        <v>2.25</v>
      </c>
      <c r="G26" s="3159">
        <v>2.25</v>
      </c>
      <c r="H26" s="3159">
        <v>2.25</v>
      </c>
      <c r="I26" s="3159">
        <v>2.25</v>
      </c>
      <c r="J26" s="3159">
        <v>2.25</v>
      </c>
      <c r="K26" s="1179"/>
      <c r="L26" s="1179"/>
    </row>
    <row r="27" spans="1:24" ht="15">
      <c r="A27" s="72"/>
      <c r="B27" s="76"/>
      <c r="C27" s="74"/>
      <c r="D27" s="74"/>
      <c r="E27" s="74"/>
    </row>
    <row r="28" spans="1:24" ht="15">
      <c r="A28" s="72"/>
      <c r="B28" s="76"/>
      <c r="C28" s="74"/>
      <c r="D28" s="74"/>
      <c r="E28" s="74"/>
    </row>
    <row r="29" spans="1:24" ht="14.25">
      <c r="A29" s="72"/>
      <c r="B29" s="395" t="str">
        <f>'15. ОПП'!A53</f>
        <v>Дата: 27.08.2018 г.</v>
      </c>
      <c r="C29" s="74"/>
      <c r="D29" s="1347"/>
      <c r="E29" s="1348" t="str">
        <f>'14. ОПР'!D49</f>
        <v>Главен счетоводител:</v>
      </c>
      <c r="F29" s="650"/>
      <c r="G29" s="650" t="s">
        <v>262</v>
      </c>
      <c r="H29" s="531"/>
      <c r="I29" s="531"/>
    </row>
    <row r="30" spans="1:24">
      <c r="F30" s="1816"/>
      <c r="G30" s="651"/>
      <c r="H30" s="290" t="s">
        <v>5</v>
      </c>
      <c r="I30" s="531"/>
    </row>
    <row r="31" spans="1:24">
      <c r="F31" s="1816"/>
      <c r="G31" s="651"/>
      <c r="H31" s="290"/>
      <c r="I31" s="531"/>
    </row>
    <row r="32" spans="1:24">
      <c r="F32" s="1816"/>
      <c r="G32" s="651"/>
      <c r="H32" s="290"/>
      <c r="I32" s="531"/>
    </row>
    <row r="33" spans="1:10">
      <c r="F33" s="1816"/>
      <c r="G33" s="651"/>
      <c r="H33" s="290"/>
      <c r="I33" s="531"/>
    </row>
    <row r="34" spans="1:10">
      <c r="E34" s="1348" t="str">
        <f>'14. ОПР'!E54</f>
        <v>Управител:</v>
      </c>
      <c r="G34" s="650" t="s">
        <v>262</v>
      </c>
      <c r="H34" s="650"/>
      <c r="I34" s="531"/>
    </row>
    <row r="35" spans="1:10">
      <c r="A35" s="3655" t="s">
        <v>247</v>
      </c>
      <c r="B35" s="3655"/>
      <c r="C35" s="3655"/>
      <c r="D35" s="532"/>
      <c r="E35" s="532"/>
      <c r="F35" s="1817"/>
      <c r="G35" s="651"/>
      <c r="H35" s="290" t="s">
        <v>6</v>
      </c>
      <c r="I35" s="531"/>
    </row>
    <row r="36" spans="1:10">
      <c r="A36" s="3658" t="s">
        <v>248</v>
      </c>
      <c r="B36" s="3658"/>
      <c r="C36" s="3658"/>
      <c r="D36" s="1818"/>
      <c r="E36" s="1818"/>
    </row>
    <row r="37" spans="1:10">
      <c r="A37" s="3658" t="s">
        <v>1310</v>
      </c>
      <c r="B37" s="3658"/>
      <c r="C37" s="3658"/>
    </row>
    <row r="38" spans="1:10">
      <c r="A38" s="3659" t="s">
        <v>1392</v>
      </c>
      <c r="B38" s="3659"/>
      <c r="C38" s="3659"/>
    </row>
    <row r="39" spans="1:10">
      <c r="A39" s="3659" t="s">
        <v>1393</v>
      </c>
      <c r="B39" s="3659"/>
      <c r="C39" s="3659"/>
    </row>
    <row r="40" spans="1:10">
      <c r="A40" s="3659" t="s">
        <v>1394</v>
      </c>
      <c r="B40" s="3659"/>
      <c r="C40" s="3659"/>
    </row>
    <row r="41" spans="1:10">
      <c r="A41" s="3660" t="s">
        <v>1311</v>
      </c>
      <c r="B41" s="3660"/>
      <c r="C41" s="3660"/>
      <c r="D41" s="3660"/>
      <c r="E41" s="3660"/>
      <c r="F41" s="3660"/>
      <c r="G41" s="3660"/>
      <c r="H41" s="3660"/>
      <c r="I41" s="3660"/>
      <c r="J41" s="3660"/>
    </row>
  </sheetData>
  <sheetProtection algorithmName="SHA-512" hashValue="aPVIcSdGfz5wKZ0g0EjdI+LntmwrD3GN6B8/ACWk6ypl4oQPv6Q3N1sQVZoNBp4AZ5T7a9a18OcFQWo5zfsyUw==" saltValue="Tl9bRIzzpf/QZhx2xOqcOQ==" spinCount="100000" sheet="1" objects="1" scenarios="1" formatCells="0" formatColumns="0" formatRows="0"/>
  <mergeCells count="22">
    <mergeCell ref="A35:C35"/>
    <mergeCell ref="A36:C36"/>
    <mergeCell ref="A20:C20"/>
    <mergeCell ref="C21:C22"/>
    <mergeCell ref="A21:A22"/>
    <mergeCell ref="B21:B22"/>
    <mergeCell ref="D21:J21"/>
    <mergeCell ref="A7:A8"/>
    <mergeCell ref="B7:B8"/>
    <mergeCell ref="C7:C8"/>
    <mergeCell ref="A2:X2"/>
    <mergeCell ref="A3:X3"/>
    <mergeCell ref="A4:X4"/>
    <mergeCell ref="A5:X5"/>
    <mergeCell ref="D7:J7"/>
    <mergeCell ref="K7:Q7"/>
    <mergeCell ref="R7:X7"/>
    <mergeCell ref="A37:C37"/>
    <mergeCell ref="A38:C38"/>
    <mergeCell ref="A39:C39"/>
    <mergeCell ref="A40:C40"/>
    <mergeCell ref="A41:J41"/>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W31"/>
  <sheetViews>
    <sheetView showGridLines="0" topLeftCell="E4" zoomScaleNormal="100" workbookViewId="0">
      <selection activeCell="W22" sqref="W22"/>
    </sheetView>
  </sheetViews>
  <sheetFormatPr defaultRowHeight="12"/>
  <cols>
    <col min="1" max="1" width="4.28515625" style="393" customWidth="1"/>
    <col min="2" max="2" width="37.140625" style="393" customWidth="1"/>
    <col min="3" max="4" width="8.85546875" style="393" customWidth="1"/>
    <col min="5" max="9" width="9.7109375" style="393" bestFit="1" customWidth="1"/>
    <col min="10" max="23" width="8.85546875" style="393" customWidth="1"/>
    <col min="24" max="246" width="9.140625" style="393"/>
    <col min="247" max="247" width="4.28515625" style="393" customWidth="1"/>
    <col min="248" max="248" width="40.7109375" style="393" customWidth="1"/>
    <col min="249" max="256" width="8.7109375" style="393" customWidth="1"/>
    <col min="257" max="258" width="0" style="393" hidden="1" customWidth="1"/>
    <col min="259" max="502" width="9.140625" style="393"/>
    <col min="503" max="503" width="4.28515625" style="393" customWidth="1"/>
    <col min="504" max="504" width="40.7109375" style="393" customWidth="1"/>
    <col min="505" max="512" width="8.7109375" style="393" customWidth="1"/>
    <col min="513" max="514" width="0" style="393" hidden="1" customWidth="1"/>
    <col min="515" max="758" width="9.140625" style="393"/>
    <col min="759" max="759" width="4.28515625" style="393" customWidth="1"/>
    <col min="760" max="760" width="40.7109375" style="393" customWidth="1"/>
    <col min="761" max="768" width="8.7109375" style="393" customWidth="1"/>
    <col min="769" max="770" width="0" style="393" hidden="1" customWidth="1"/>
    <col min="771" max="1014" width="9.140625" style="393"/>
    <col min="1015" max="1015" width="4.28515625" style="393" customWidth="1"/>
    <col min="1016" max="1016" width="40.7109375" style="393" customWidth="1"/>
    <col min="1017" max="1024" width="8.7109375" style="393" customWidth="1"/>
    <col min="1025" max="1026" width="0" style="393" hidden="1" customWidth="1"/>
    <col min="1027" max="1270" width="9.140625" style="393"/>
    <col min="1271" max="1271" width="4.28515625" style="393" customWidth="1"/>
    <col min="1272" max="1272" width="40.7109375" style="393" customWidth="1"/>
    <col min="1273" max="1280" width="8.7109375" style="393" customWidth="1"/>
    <col min="1281" max="1282" width="0" style="393" hidden="1" customWidth="1"/>
    <col min="1283" max="1526" width="9.140625" style="393"/>
    <col min="1527" max="1527" width="4.28515625" style="393" customWidth="1"/>
    <col min="1528" max="1528" width="40.7109375" style="393" customWidth="1"/>
    <col min="1529" max="1536" width="8.7109375" style="393" customWidth="1"/>
    <col min="1537" max="1538" width="0" style="393" hidden="1" customWidth="1"/>
    <col min="1539" max="1782" width="9.140625" style="393"/>
    <col min="1783" max="1783" width="4.28515625" style="393" customWidth="1"/>
    <col min="1784" max="1784" width="40.7109375" style="393" customWidth="1"/>
    <col min="1785" max="1792" width="8.7109375" style="393" customWidth="1"/>
    <col min="1793" max="1794" width="0" style="393" hidden="1" customWidth="1"/>
    <col min="1795" max="2038" width="9.140625" style="393"/>
    <col min="2039" max="2039" width="4.28515625" style="393" customWidth="1"/>
    <col min="2040" max="2040" width="40.7109375" style="393" customWidth="1"/>
    <col min="2041" max="2048" width="8.7109375" style="393" customWidth="1"/>
    <col min="2049" max="2050" width="0" style="393" hidden="1" customWidth="1"/>
    <col min="2051" max="2294" width="9.140625" style="393"/>
    <col min="2295" max="2295" width="4.28515625" style="393" customWidth="1"/>
    <col min="2296" max="2296" width="40.7109375" style="393" customWidth="1"/>
    <col min="2297" max="2304" width="8.7109375" style="393" customWidth="1"/>
    <col min="2305" max="2306" width="0" style="393" hidden="1" customWidth="1"/>
    <col min="2307" max="2550" width="9.140625" style="393"/>
    <col min="2551" max="2551" width="4.28515625" style="393" customWidth="1"/>
    <col min="2552" max="2552" width="40.7109375" style="393" customWidth="1"/>
    <col min="2553" max="2560" width="8.7109375" style="393" customWidth="1"/>
    <col min="2561" max="2562" width="0" style="393" hidden="1" customWidth="1"/>
    <col min="2563" max="2806" width="9.140625" style="393"/>
    <col min="2807" max="2807" width="4.28515625" style="393" customWidth="1"/>
    <col min="2808" max="2808" width="40.7109375" style="393" customWidth="1"/>
    <col min="2809" max="2816" width="8.7109375" style="393" customWidth="1"/>
    <col min="2817" max="2818" width="0" style="393" hidden="1" customWidth="1"/>
    <col min="2819" max="3062" width="9.140625" style="393"/>
    <col min="3063" max="3063" width="4.28515625" style="393" customWidth="1"/>
    <col min="3064" max="3064" width="40.7109375" style="393" customWidth="1"/>
    <col min="3065" max="3072" width="8.7109375" style="393" customWidth="1"/>
    <col min="3073" max="3074" width="0" style="393" hidden="1" customWidth="1"/>
    <col min="3075" max="3318" width="9.140625" style="393"/>
    <col min="3319" max="3319" width="4.28515625" style="393" customWidth="1"/>
    <col min="3320" max="3320" width="40.7109375" style="393" customWidth="1"/>
    <col min="3321" max="3328" width="8.7109375" style="393" customWidth="1"/>
    <col min="3329" max="3330" width="0" style="393" hidden="1" customWidth="1"/>
    <col min="3331" max="3574" width="9.140625" style="393"/>
    <col min="3575" max="3575" width="4.28515625" style="393" customWidth="1"/>
    <col min="3576" max="3576" width="40.7109375" style="393" customWidth="1"/>
    <col min="3577" max="3584" width="8.7109375" style="393" customWidth="1"/>
    <col min="3585" max="3586" width="0" style="393" hidden="1" customWidth="1"/>
    <col min="3587" max="3830" width="9.140625" style="393"/>
    <col min="3831" max="3831" width="4.28515625" style="393" customWidth="1"/>
    <col min="3832" max="3832" width="40.7109375" style="393" customWidth="1"/>
    <col min="3833" max="3840" width="8.7109375" style="393" customWidth="1"/>
    <col min="3841" max="3842" width="0" style="393" hidden="1" customWidth="1"/>
    <col min="3843" max="4086" width="9.140625" style="393"/>
    <col min="4087" max="4087" width="4.28515625" style="393" customWidth="1"/>
    <col min="4088" max="4088" width="40.7109375" style="393" customWidth="1"/>
    <col min="4089" max="4096" width="8.7109375" style="393" customWidth="1"/>
    <col min="4097" max="4098" width="0" style="393" hidden="1" customWidth="1"/>
    <col min="4099" max="4342" width="9.140625" style="393"/>
    <col min="4343" max="4343" width="4.28515625" style="393" customWidth="1"/>
    <col min="4344" max="4344" width="40.7109375" style="393" customWidth="1"/>
    <col min="4345" max="4352" width="8.7109375" style="393" customWidth="1"/>
    <col min="4353" max="4354" width="0" style="393" hidden="1" customWidth="1"/>
    <col min="4355" max="4598" width="9.140625" style="393"/>
    <col min="4599" max="4599" width="4.28515625" style="393" customWidth="1"/>
    <col min="4600" max="4600" width="40.7109375" style="393" customWidth="1"/>
    <col min="4601" max="4608" width="8.7109375" style="393" customWidth="1"/>
    <col min="4609" max="4610" width="0" style="393" hidden="1" customWidth="1"/>
    <col min="4611" max="4854" width="9.140625" style="393"/>
    <col min="4855" max="4855" width="4.28515625" style="393" customWidth="1"/>
    <col min="4856" max="4856" width="40.7109375" style="393" customWidth="1"/>
    <col min="4857" max="4864" width="8.7109375" style="393" customWidth="1"/>
    <col min="4865" max="4866" width="0" style="393" hidden="1" customWidth="1"/>
    <col min="4867" max="5110" width="9.140625" style="393"/>
    <col min="5111" max="5111" width="4.28515625" style="393" customWidth="1"/>
    <col min="5112" max="5112" width="40.7109375" style="393" customWidth="1"/>
    <col min="5113" max="5120" width="8.7109375" style="393" customWidth="1"/>
    <col min="5121" max="5122" width="0" style="393" hidden="1" customWidth="1"/>
    <col min="5123" max="5366" width="9.140625" style="393"/>
    <col min="5367" max="5367" width="4.28515625" style="393" customWidth="1"/>
    <col min="5368" max="5368" width="40.7109375" style="393" customWidth="1"/>
    <col min="5369" max="5376" width="8.7109375" style="393" customWidth="1"/>
    <col min="5377" max="5378" width="0" style="393" hidden="1" customWidth="1"/>
    <col min="5379" max="5622" width="9.140625" style="393"/>
    <col min="5623" max="5623" width="4.28515625" style="393" customWidth="1"/>
    <col min="5624" max="5624" width="40.7109375" style="393" customWidth="1"/>
    <col min="5625" max="5632" width="8.7109375" style="393" customWidth="1"/>
    <col min="5633" max="5634" width="0" style="393" hidden="1" customWidth="1"/>
    <col min="5635" max="5878" width="9.140625" style="393"/>
    <col min="5879" max="5879" width="4.28515625" style="393" customWidth="1"/>
    <col min="5880" max="5880" width="40.7109375" style="393" customWidth="1"/>
    <col min="5881" max="5888" width="8.7109375" style="393" customWidth="1"/>
    <col min="5889" max="5890" width="0" style="393" hidden="1" customWidth="1"/>
    <col min="5891" max="6134" width="9.140625" style="393"/>
    <col min="6135" max="6135" width="4.28515625" style="393" customWidth="1"/>
    <col min="6136" max="6136" width="40.7109375" style="393" customWidth="1"/>
    <col min="6137" max="6144" width="8.7109375" style="393" customWidth="1"/>
    <col min="6145" max="6146" width="0" style="393" hidden="1" customWidth="1"/>
    <col min="6147" max="6390" width="9.140625" style="393"/>
    <col min="6391" max="6391" width="4.28515625" style="393" customWidth="1"/>
    <col min="6392" max="6392" width="40.7109375" style="393" customWidth="1"/>
    <col min="6393" max="6400" width="8.7109375" style="393" customWidth="1"/>
    <col min="6401" max="6402" width="0" style="393" hidden="1" customWidth="1"/>
    <col min="6403" max="6646" width="9.140625" style="393"/>
    <col min="6647" max="6647" width="4.28515625" style="393" customWidth="1"/>
    <col min="6648" max="6648" width="40.7109375" style="393" customWidth="1"/>
    <col min="6649" max="6656" width="8.7109375" style="393" customWidth="1"/>
    <col min="6657" max="6658" width="0" style="393" hidden="1" customWidth="1"/>
    <col min="6659" max="6902" width="9.140625" style="393"/>
    <col min="6903" max="6903" width="4.28515625" style="393" customWidth="1"/>
    <col min="6904" max="6904" width="40.7109375" style="393" customWidth="1"/>
    <col min="6905" max="6912" width="8.7109375" style="393" customWidth="1"/>
    <col min="6913" max="6914" width="0" style="393" hidden="1" customWidth="1"/>
    <col min="6915" max="7158" width="9.140625" style="393"/>
    <col min="7159" max="7159" width="4.28515625" style="393" customWidth="1"/>
    <col min="7160" max="7160" width="40.7109375" style="393" customWidth="1"/>
    <col min="7161" max="7168" width="8.7109375" style="393" customWidth="1"/>
    <col min="7169" max="7170" width="0" style="393" hidden="1" customWidth="1"/>
    <col min="7171" max="7414" width="9.140625" style="393"/>
    <col min="7415" max="7415" width="4.28515625" style="393" customWidth="1"/>
    <col min="7416" max="7416" width="40.7109375" style="393" customWidth="1"/>
    <col min="7417" max="7424" width="8.7109375" style="393" customWidth="1"/>
    <col min="7425" max="7426" width="0" style="393" hidden="1" customWidth="1"/>
    <col min="7427" max="7670" width="9.140625" style="393"/>
    <col min="7671" max="7671" width="4.28515625" style="393" customWidth="1"/>
    <col min="7672" max="7672" width="40.7109375" style="393" customWidth="1"/>
    <col min="7673" max="7680" width="8.7109375" style="393" customWidth="1"/>
    <col min="7681" max="7682" width="0" style="393" hidden="1" customWidth="1"/>
    <col min="7683" max="7926" width="9.140625" style="393"/>
    <col min="7927" max="7927" width="4.28515625" style="393" customWidth="1"/>
    <col min="7928" max="7928" width="40.7109375" style="393" customWidth="1"/>
    <col min="7929" max="7936" width="8.7109375" style="393" customWidth="1"/>
    <col min="7937" max="7938" width="0" style="393" hidden="1" customWidth="1"/>
    <col min="7939" max="8182" width="9.140625" style="393"/>
    <col min="8183" max="8183" width="4.28515625" style="393" customWidth="1"/>
    <col min="8184" max="8184" width="40.7109375" style="393" customWidth="1"/>
    <col min="8185" max="8192" width="8.7109375" style="393" customWidth="1"/>
    <col min="8193" max="8194" width="0" style="393" hidden="1" customWidth="1"/>
    <col min="8195" max="8438" width="9.140625" style="393"/>
    <col min="8439" max="8439" width="4.28515625" style="393" customWidth="1"/>
    <col min="8440" max="8440" width="40.7109375" style="393" customWidth="1"/>
    <col min="8441" max="8448" width="8.7109375" style="393" customWidth="1"/>
    <col min="8449" max="8450" width="0" style="393" hidden="1" customWidth="1"/>
    <col min="8451" max="8694" width="9.140625" style="393"/>
    <col min="8695" max="8695" width="4.28515625" style="393" customWidth="1"/>
    <col min="8696" max="8696" width="40.7109375" style="393" customWidth="1"/>
    <col min="8697" max="8704" width="8.7109375" style="393" customWidth="1"/>
    <col min="8705" max="8706" width="0" style="393" hidden="1" customWidth="1"/>
    <col min="8707" max="8950" width="9.140625" style="393"/>
    <col min="8951" max="8951" width="4.28515625" style="393" customWidth="1"/>
    <col min="8952" max="8952" width="40.7109375" style="393" customWidth="1"/>
    <col min="8953" max="8960" width="8.7109375" style="393" customWidth="1"/>
    <col min="8961" max="8962" width="0" style="393" hidden="1" customWidth="1"/>
    <col min="8963" max="9206" width="9.140625" style="393"/>
    <col min="9207" max="9207" width="4.28515625" style="393" customWidth="1"/>
    <col min="9208" max="9208" width="40.7109375" style="393" customWidth="1"/>
    <col min="9209" max="9216" width="8.7109375" style="393" customWidth="1"/>
    <col min="9217" max="9218" width="0" style="393" hidden="1" customWidth="1"/>
    <col min="9219" max="9462" width="9.140625" style="393"/>
    <col min="9463" max="9463" width="4.28515625" style="393" customWidth="1"/>
    <col min="9464" max="9464" width="40.7109375" style="393" customWidth="1"/>
    <col min="9465" max="9472" width="8.7109375" style="393" customWidth="1"/>
    <col min="9473" max="9474" width="0" style="393" hidden="1" customWidth="1"/>
    <col min="9475" max="9718" width="9.140625" style="393"/>
    <col min="9719" max="9719" width="4.28515625" style="393" customWidth="1"/>
    <col min="9720" max="9720" width="40.7109375" style="393" customWidth="1"/>
    <col min="9721" max="9728" width="8.7109375" style="393" customWidth="1"/>
    <col min="9729" max="9730" width="0" style="393" hidden="1" customWidth="1"/>
    <col min="9731" max="9974" width="9.140625" style="393"/>
    <col min="9975" max="9975" width="4.28515625" style="393" customWidth="1"/>
    <col min="9976" max="9976" width="40.7109375" style="393" customWidth="1"/>
    <col min="9977" max="9984" width="8.7109375" style="393" customWidth="1"/>
    <col min="9985" max="9986" width="0" style="393" hidden="1" customWidth="1"/>
    <col min="9987" max="10230" width="9.140625" style="393"/>
    <col min="10231" max="10231" width="4.28515625" style="393" customWidth="1"/>
    <col min="10232" max="10232" width="40.7109375" style="393" customWidth="1"/>
    <col min="10233" max="10240" width="8.7109375" style="393" customWidth="1"/>
    <col min="10241" max="10242" width="0" style="393" hidden="1" customWidth="1"/>
    <col min="10243" max="10486" width="9.140625" style="393"/>
    <col min="10487" max="10487" width="4.28515625" style="393" customWidth="1"/>
    <col min="10488" max="10488" width="40.7109375" style="393" customWidth="1"/>
    <col min="10489" max="10496" width="8.7109375" style="393" customWidth="1"/>
    <col min="10497" max="10498" width="0" style="393" hidden="1" customWidth="1"/>
    <col min="10499" max="10742" width="9.140625" style="393"/>
    <col min="10743" max="10743" width="4.28515625" style="393" customWidth="1"/>
    <col min="10744" max="10744" width="40.7109375" style="393" customWidth="1"/>
    <col min="10745" max="10752" width="8.7109375" style="393" customWidth="1"/>
    <col min="10753" max="10754" width="0" style="393" hidden="1" customWidth="1"/>
    <col min="10755" max="10998" width="9.140625" style="393"/>
    <col min="10999" max="10999" width="4.28515625" style="393" customWidth="1"/>
    <col min="11000" max="11000" width="40.7109375" style="393" customWidth="1"/>
    <col min="11001" max="11008" width="8.7109375" style="393" customWidth="1"/>
    <col min="11009" max="11010" width="0" style="393" hidden="1" customWidth="1"/>
    <col min="11011" max="11254" width="9.140625" style="393"/>
    <col min="11255" max="11255" width="4.28515625" style="393" customWidth="1"/>
    <col min="11256" max="11256" width="40.7109375" style="393" customWidth="1"/>
    <col min="11257" max="11264" width="8.7109375" style="393" customWidth="1"/>
    <col min="11265" max="11266" width="0" style="393" hidden="1" customWidth="1"/>
    <col min="11267" max="11510" width="9.140625" style="393"/>
    <col min="11511" max="11511" width="4.28515625" style="393" customWidth="1"/>
    <col min="11512" max="11512" width="40.7109375" style="393" customWidth="1"/>
    <col min="11513" max="11520" width="8.7109375" style="393" customWidth="1"/>
    <col min="11521" max="11522" width="0" style="393" hidden="1" customWidth="1"/>
    <col min="11523" max="11766" width="9.140625" style="393"/>
    <col min="11767" max="11767" width="4.28515625" style="393" customWidth="1"/>
    <col min="11768" max="11768" width="40.7109375" style="393" customWidth="1"/>
    <col min="11769" max="11776" width="8.7109375" style="393" customWidth="1"/>
    <col min="11777" max="11778" width="0" style="393" hidden="1" customWidth="1"/>
    <col min="11779" max="12022" width="9.140625" style="393"/>
    <col min="12023" max="12023" width="4.28515625" style="393" customWidth="1"/>
    <col min="12024" max="12024" width="40.7109375" style="393" customWidth="1"/>
    <col min="12025" max="12032" width="8.7109375" style="393" customWidth="1"/>
    <col min="12033" max="12034" width="0" style="393" hidden="1" customWidth="1"/>
    <col min="12035" max="12278" width="9.140625" style="393"/>
    <col min="12279" max="12279" width="4.28515625" style="393" customWidth="1"/>
    <col min="12280" max="12280" width="40.7109375" style="393" customWidth="1"/>
    <col min="12281" max="12288" width="8.7109375" style="393" customWidth="1"/>
    <col min="12289" max="12290" width="0" style="393" hidden="1" customWidth="1"/>
    <col min="12291" max="12534" width="9.140625" style="393"/>
    <col min="12535" max="12535" width="4.28515625" style="393" customWidth="1"/>
    <col min="12536" max="12536" width="40.7109375" style="393" customWidth="1"/>
    <col min="12537" max="12544" width="8.7109375" style="393" customWidth="1"/>
    <col min="12545" max="12546" width="0" style="393" hidden="1" customWidth="1"/>
    <col min="12547" max="12790" width="9.140625" style="393"/>
    <col min="12791" max="12791" width="4.28515625" style="393" customWidth="1"/>
    <col min="12792" max="12792" width="40.7109375" style="393" customWidth="1"/>
    <col min="12793" max="12800" width="8.7109375" style="393" customWidth="1"/>
    <col min="12801" max="12802" width="0" style="393" hidden="1" customWidth="1"/>
    <col min="12803" max="13046" width="9.140625" style="393"/>
    <col min="13047" max="13047" width="4.28515625" style="393" customWidth="1"/>
    <col min="13048" max="13048" width="40.7109375" style="393" customWidth="1"/>
    <col min="13049" max="13056" width="8.7109375" style="393" customWidth="1"/>
    <col min="13057" max="13058" width="0" style="393" hidden="1" customWidth="1"/>
    <col min="13059" max="13302" width="9.140625" style="393"/>
    <col min="13303" max="13303" width="4.28515625" style="393" customWidth="1"/>
    <col min="13304" max="13304" width="40.7109375" style="393" customWidth="1"/>
    <col min="13305" max="13312" width="8.7109375" style="393" customWidth="1"/>
    <col min="13313" max="13314" width="0" style="393" hidden="1" customWidth="1"/>
    <col min="13315" max="13558" width="9.140625" style="393"/>
    <col min="13559" max="13559" width="4.28515625" style="393" customWidth="1"/>
    <col min="13560" max="13560" width="40.7109375" style="393" customWidth="1"/>
    <col min="13561" max="13568" width="8.7109375" style="393" customWidth="1"/>
    <col min="13569" max="13570" width="0" style="393" hidden="1" customWidth="1"/>
    <col min="13571" max="13814" width="9.140625" style="393"/>
    <col min="13815" max="13815" width="4.28515625" style="393" customWidth="1"/>
    <col min="13816" max="13816" width="40.7109375" style="393" customWidth="1"/>
    <col min="13817" max="13824" width="8.7109375" style="393" customWidth="1"/>
    <col min="13825" max="13826" width="0" style="393" hidden="1" customWidth="1"/>
    <col min="13827" max="14070" width="9.140625" style="393"/>
    <col min="14071" max="14071" width="4.28515625" style="393" customWidth="1"/>
    <col min="14072" max="14072" width="40.7109375" style="393" customWidth="1"/>
    <col min="14073" max="14080" width="8.7109375" style="393" customWidth="1"/>
    <col min="14081" max="14082" width="0" style="393" hidden="1" customWidth="1"/>
    <col min="14083" max="14326" width="9.140625" style="393"/>
    <col min="14327" max="14327" width="4.28515625" style="393" customWidth="1"/>
    <col min="14328" max="14328" width="40.7109375" style="393" customWidth="1"/>
    <col min="14329" max="14336" width="8.7109375" style="393" customWidth="1"/>
    <col min="14337" max="14338" width="0" style="393" hidden="1" customWidth="1"/>
    <col min="14339" max="14582" width="9.140625" style="393"/>
    <col min="14583" max="14583" width="4.28515625" style="393" customWidth="1"/>
    <col min="14584" max="14584" width="40.7109375" style="393" customWidth="1"/>
    <col min="14585" max="14592" width="8.7109375" style="393" customWidth="1"/>
    <col min="14593" max="14594" width="0" style="393" hidden="1" customWidth="1"/>
    <col min="14595" max="14838" width="9.140625" style="393"/>
    <col min="14839" max="14839" width="4.28515625" style="393" customWidth="1"/>
    <col min="14840" max="14840" width="40.7109375" style="393" customWidth="1"/>
    <col min="14841" max="14848" width="8.7109375" style="393" customWidth="1"/>
    <col min="14849" max="14850" width="0" style="393" hidden="1" customWidth="1"/>
    <col min="14851" max="15094" width="9.140625" style="393"/>
    <col min="15095" max="15095" width="4.28515625" style="393" customWidth="1"/>
    <col min="15096" max="15096" width="40.7109375" style="393" customWidth="1"/>
    <col min="15097" max="15104" width="8.7109375" style="393" customWidth="1"/>
    <col min="15105" max="15106" width="0" style="393" hidden="1" customWidth="1"/>
    <col min="15107" max="15350" width="9.140625" style="393"/>
    <col min="15351" max="15351" width="4.28515625" style="393" customWidth="1"/>
    <col min="15352" max="15352" width="40.7109375" style="393" customWidth="1"/>
    <col min="15353" max="15360" width="8.7109375" style="393" customWidth="1"/>
    <col min="15361" max="15362" width="0" style="393" hidden="1" customWidth="1"/>
    <col min="15363" max="15606" width="9.140625" style="393"/>
    <col min="15607" max="15607" width="4.28515625" style="393" customWidth="1"/>
    <col min="15608" max="15608" width="40.7109375" style="393" customWidth="1"/>
    <col min="15609" max="15616" width="8.7109375" style="393" customWidth="1"/>
    <col min="15617" max="15618" width="0" style="393" hidden="1" customWidth="1"/>
    <col min="15619" max="15862" width="9.140625" style="393"/>
    <col min="15863" max="15863" width="4.28515625" style="393" customWidth="1"/>
    <col min="15864" max="15864" width="40.7109375" style="393" customWidth="1"/>
    <col min="15865" max="15872" width="8.7109375" style="393" customWidth="1"/>
    <col min="15873" max="15874" width="0" style="393" hidden="1" customWidth="1"/>
    <col min="15875" max="16118" width="9.140625" style="393"/>
    <col min="16119" max="16119" width="4.28515625" style="393" customWidth="1"/>
    <col min="16120" max="16120" width="40.7109375" style="393" customWidth="1"/>
    <col min="16121" max="16128" width="8.7109375" style="393" customWidth="1"/>
    <col min="16129" max="16130" width="0" style="393" hidden="1" customWidth="1"/>
    <col min="16131" max="16384" width="9.140625" style="393"/>
  </cols>
  <sheetData>
    <row r="1" spans="1:23" ht="13.5">
      <c r="V1" s="397"/>
      <c r="W1" s="398" t="str">
        <f>'16. Необходими приходи'!X1</f>
        <v>Приложение № 6</v>
      </c>
    </row>
    <row r="2" spans="1:23" ht="18.75">
      <c r="A2" s="3681" t="s">
        <v>747</v>
      </c>
      <c r="B2" s="3681"/>
      <c r="C2" s="3681"/>
      <c r="D2" s="3681"/>
      <c r="E2" s="3681"/>
      <c r="F2" s="3681"/>
      <c r="G2" s="3681"/>
      <c r="H2" s="3681"/>
      <c r="I2" s="3681"/>
      <c r="J2" s="3681"/>
      <c r="K2" s="3681"/>
      <c r="L2" s="3681"/>
      <c r="M2" s="3681"/>
      <c r="N2" s="3681"/>
      <c r="O2" s="3681"/>
      <c r="P2" s="3681"/>
      <c r="Q2" s="3681"/>
      <c r="R2" s="3681"/>
      <c r="S2" s="3681"/>
      <c r="T2" s="3681"/>
      <c r="U2" s="3681"/>
      <c r="V2" s="3681"/>
      <c r="W2" s="3681"/>
    </row>
    <row r="3" spans="1:23" ht="18.75">
      <c r="A3" s="3682" t="s">
        <v>490</v>
      </c>
      <c r="B3" s="3682"/>
      <c r="C3" s="3682"/>
      <c r="D3" s="3682"/>
      <c r="E3" s="3682"/>
      <c r="F3" s="3682"/>
      <c r="G3" s="3682"/>
      <c r="H3" s="3682"/>
      <c r="I3" s="3682"/>
      <c r="J3" s="3682"/>
      <c r="K3" s="3682"/>
      <c r="L3" s="3682"/>
      <c r="M3" s="3682"/>
      <c r="N3" s="3682"/>
      <c r="O3" s="3682"/>
      <c r="P3" s="3682"/>
      <c r="Q3" s="3682"/>
      <c r="R3" s="3682"/>
      <c r="S3" s="3682"/>
      <c r="T3" s="3682"/>
      <c r="U3" s="3682"/>
      <c r="V3" s="3682"/>
      <c r="W3" s="3682"/>
    </row>
    <row r="4" spans="1:23" ht="14.25" customHeight="1">
      <c r="A4" s="3683" t="str">
        <f>'1. Анкетна карта'!A3:J3</f>
        <v>на "Водоснабдяване и канализация" ЕООД , гр. Благоевград</v>
      </c>
      <c r="B4" s="3683"/>
      <c r="C4" s="3683"/>
      <c r="D4" s="3683"/>
      <c r="E4" s="3683"/>
      <c r="F4" s="3683"/>
      <c r="G4" s="3683"/>
      <c r="H4" s="3683"/>
      <c r="I4" s="3683"/>
      <c r="J4" s="3683"/>
      <c r="K4" s="3683"/>
      <c r="L4" s="3683"/>
      <c r="M4" s="3683"/>
      <c r="N4" s="3683"/>
      <c r="O4" s="3683"/>
      <c r="P4" s="3683"/>
      <c r="Q4" s="3683"/>
      <c r="R4" s="3683"/>
      <c r="S4" s="3683"/>
      <c r="T4" s="3683"/>
      <c r="U4" s="3683"/>
      <c r="V4" s="3683"/>
      <c r="W4" s="3683"/>
    </row>
    <row r="5" spans="1:23" ht="14.25" customHeight="1">
      <c r="A5" s="3683" t="str">
        <f>'1. Анкетна карта'!A4:J4</f>
        <v>ЕИК по БУЛСТАТ: 811047831</v>
      </c>
      <c r="B5" s="3683"/>
      <c r="C5" s="3683"/>
      <c r="D5" s="3683"/>
      <c r="E5" s="3683"/>
      <c r="F5" s="3683"/>
      <c r="G5" s="3683"/>
      <c r="H5" s="3683"/>
      <c r="I5" s="3683"/>
      <c r="J5" s="3683"/>
      <c r="K5" s="3683"/>
      <c r="L5" s="3683"/>
      <c r="M5" s="3683"/>
      <c r="N5" s="3683"/>
      <c r="O5" s="3683"/>
      <c r="P5" s="3683"/>
      <c r="Q5" s="3683"/>
      <c r="R5" s="3683"/>
      <c r="S5" s="3683"/>
      <c r="T5" s="3683"/>
      <c r="U5" s="3683"/>
      <c r="V5" s="3683"/>
      <c r="W5" s="3683"/>
    </row>
    <row r="6" spans="1:23" s="169" customFormat="1" ht="12.75" customHeight="1" thickBot="1">
      <c r="C6" s="169" t="s">
        <v>263</v>
      </c>
      <c r="D6" s="78"/>
      <c r="F6" s="78"/>
      <c r="J6" s="78"/>
      <c r="L6" s="78"/>
      <c r="N6" s="78"/>
      <c r="O6" s="78"/>
      <c r="W6" s="38" t="s">
        <v>250</v>
      </c>
    </row>
    <row r="7" spans="1:23" s="170" customFormat="1" ht="12.75" thickBot="1">
      <c r="A7" s="3684" t="s">
        <v>1</v>
      </c>
      <c r="B7" s="3687" t="s">
        <v>95</v>
      </c>
      <c r="C7" s="3690" t="s">
        <v>287</v>
      </c>
      <c r="D7" s="3691"/>
      <c r="E7" s="3691"/>
      <c r="F7" s="3691"/>
      <c r="G7" s="3691"/>
      <c r="H7" s="3691"/>
      <c r="I7" s="3691"/>
      <c r="J7" s="3691"/>
      <c r="K7" s="3691"/>
      <c r="L7" s="3691"/>
      <c r="M7" s="3691"/>
      <c r="N7" s="3691"/>
      <c r="O7" s="3691"/>
      <c r="P7" s="3691"/>
      <c r="Q7" s="3691"/>
      <c r="R7" s="3691"/>
      <c r="S7" s="3691"/>
      <c r="T7" s="3691"/>
      <c r="U7" s="3691"/>
      <c r="V7" s="3691"/>
      <c r="W7" s="3692"/>
    </row>
    <row r="8" spans="1:23" s="170" customFormat="1">
      <c r="A8" s="3685"/>
      <c r="B8" s="3688"/>
      <c r="C8" s="3693" t="s">
        <v>273</v>
      </c>
      <c r="D8" s="3694"/>
      <c r="E8" s="3694"/>
      <c r="F8" s="3694"/>
      <c r="G8" s="3694"/>
      <c r="H8" s="3694"/>
      <c r="I8" s="3695"/>
      <c r="J8" s="3693" t="s">
        <v>230</v>
      </c>
      <c r="K8" s="3694"/>
      <c r="L8" s="3694"/>
      <c r="M8" s="3694"/>
      <c r="N8" s="3694"/>
      <c r="O8" s="3694"/>
      <c r="P8" s="3695"/>
      <c r="Q8" s="3693" t="s">
        <v>241</v>
      </c>
      <c r="R8" s="3694"/>
      <c r="S8" s="3694"/>
      <c r="T8" s="3694"/>
      <c r="U8" s="3694"/>
      <c r="V8" s="3694"/>
      <c r="W8" s="3695"/>
    </row>
    <row r="9" spans="1:23" s="169" customFormat="1" ht="12.75" thickBot="1">
      <c r="A9" s="3686"/>
      <c r="B9" s="3689"/>
      <c r="C9" s="1131" t="str">
        <f>'Приложение '!$G12</f>
        <v>2015 г.</v>
      </c>
      <c r="D9" s="1132" t="str">
        <f>'Приложение '!$G13</f>
        <v>2016 г.</v>
      </c>
      <c r="E9" s="1132" t="str">
        <f>'Приложение '!$G14</f>
        <v>2017 г.</v>
      </c>
      <c r="F9" s="1132" t="str">
        <f>'Приложение '!$G15</f>
        <v>2018 г.</v>
      </c>
      <c r="G9" s="1132" t="str">
        <f>'Приложение '!$G16</f>
        <v>2019 г.</v>
      </c>
      <c r="H9" s="1132" t="str">
        <f>'Приложение '!$G17</f>
        <v>2020 г.</v>
      </c>
      <c r="I9" s="1133" t="str">
        <f>'Приложение '!$G18</f>
        <v>2021 г.</v>
      </c>
      <c r="J9" s="1131" t="str">
        <f>C9</f>
        <v>2015 г.</v>
      </c>
      <c r="K9" s="1132" t="str">
        <f t="shared" ref="K9:W9" si="0">D9</f>
        <v>2016 г.</v>
      </c>
      <c r="L9" s="1132" t="str">
        <f t="shared" si="0"/>
        <v>2017 г.</v>
      </c>
      <c r="M9" s="1132" t="str">
        <f t="shared" si="0"/>
        <v>2018 г.</v>
      </c>
      <c r="N9" s="1132" t="str">
        <f t="shared" si="0"/>
        <v>2019 г.</v>
      </c>
      <c r="O9" s="1132" t="str">
        <f t="shared" si="0"/>
        <v>2020 г.</v>
      </c>
      <c r="P9" s="1133" t="str">
        <f t="shared" si="0"/>
        <v>2021 г.</v>
      </c>
      <c r="Q9" s="1131" t="str">
        <f t="shared" si="0"/>
        <v>2015 г.</v>
      </c>
      <c r="R9" s="1132" t="str">
        <f t="shared" si="0"/>
        <v>2016 г.</v>
      </c>
      <c r="S9" s="1132" t="str">
        <f t="shared" si="0"/>
        <v>2017 г.</v>
      </c>
      <c r="T9" s="1132" t="str">
        <f t="shared" si="0"/>
        <v>2018 г.</v>
      </c>
      <c r="U9" s="1132" t="str">
        <f t="shared" si="0"/>
        <v>2019 г.</v>
      </c>
      <c r="V9" s="1132" t="str">
        <f t="shared" si="0"/>
        <v>2020 г.</v>
      </c>
      <c r="W9" s="1133" t="str">
        <f t="shared" si="0"/>
        <v>2021 г.</v>
      </c>
    </row>
    <row r="10" spans="1:23" s="1472" customFormat="1" ht="32.25" customHeight="1">
      <c r="A10" s="1477" t="s">
        <v>193</v>
      </c>
      <c r="B10" s="1478" t="s">
        <v>740</v>
      </c>
      <c r="C10" s="1479">
        <f>C11-C12</f>
        <v>7543</v>
      </c>
      <c r="D10" s="1480">
        <f t="shared" ref="D10:W10" si="1">D11-D12</f>
        <v>7543</v>
      </c>
      <c r="E10" s="1480">
        <f t="shared" si="1"/>
        <v>9609</v>
      </c>
      <c r="F10" s="1480">
        <f t="shared" si="1"/>
        <v>11122.799421407906</v>
      </c>
      <c r="G10" s="1480">
        <f t="shared" si="1"/>
        <v>13422.093124178689</v>
      </c>
      <c r="H10" s="1480">
        <f t="shared" si="1"/>
        <v>15649.364291226742</v>
      </c>
      <c r="I10" s="1481">
        <f t="shared" si="1"/>
        <v>18390.772087743193</v>
      </c>
      <c r="J10" s="1479">
        <f t="shared" si="1"/>
        <v>1365</v>
      </c>
      <c r="K10" s="1480">
        <f t="shared" si="1"/>
        <v>1365</v>
      </c>
      <c r="L10" s="1480">
        <f t="shared" si="1"/>
        <v>1558</v>
      </c>
      <c r="M10" s="1480">
        <f t="shared" si="1"/>
        <v>2332.974927675989</v>
      </c>
      <c r="N10" s="1480">
        <f t="shared" si="1"/>
        <v>2555.4409226382049</v>
      </c>
      <c r="O10" s="1480">
        <f t="shared" si="1"/>
        <v>3277.8627380462904</v>
      </c>
      <c r="P10" s="1481">
        <f t="shared" si="1"/>
        <v>4618.0297272638745</v>
      </c>
      <c r="Q10" s="1479">
        <f t="shared" si="1"/>
        <v>65</v>
      </c>
      <c r="R10" s="1480">
        <f t="shared" si="1"/>
        <v>65</v>
      </c>
      <c r="S10" s="1480">
        <f t="shared" si="1"/>
        <v>239</v>
      </c>
      <c r="T10" s="1480">
        <f t="shared" si="1"/>
        <v>293.22565091610414</v>
      </c>
      <c r="U10" s="1480">
        <f t="shared" si="1"/>
        <v>620.46595318310665</v>
      </c>
      <c r="V10" s="1480">
        <f t="shared" si="1"/>
        <v>755.77297072696638</v>
      </c>
      <c r="W10" s="1481">
        <f t="shared" si="1"/>
        <v>842.19818499293262</v>
      </c>
    </row>
    <row r="11" spans="1:23" s="169" customFormat="1" ht="33.75" customHeight="1">
      <c r="A11" s="1134" t="s">
        <v>98</v>
      </c>
      <c r="B11" s="1135" t="s">
        <v>920</v>
      </c>
      <c r="C11" s="1339">
        <f>'11. Амортиз. план'!E9+'11. Амортиз. план'!E110</f>
        <v>7543</v>
      </c>
      <c r="D11" s="1136">
        <f>C11</f>
        <v>7543</v>
      </c>
      <c r="E11" s="1136">
        <f>'11. Амортиз. план'!F9+'11. Амортиз. план'!F110</f>
        <v>9609</v>
      </c>
      <c r="F11" s="1136">
        <f>'11. Амортиз. план'!G9+'11. Амортиз. план'!G110</f>
        <v>11122.799421407906</v>
      </c>
      <c r="G11" s="1136">
        <f>'11. Амортиз. план'!H9+'11. Амортиз. план'!H110</f>
        <v>13422.093124178689</v>
      </c>
      <c r="H11" s="1136">
        <f>'11. Амортиз. план'!I9+'11. Амортиз. план'!I110</f>
        <v>15649.364291226742</v>
      </c>
      <c r="I11" s="1139">
        <f>'11. Амортиз. план'!J9+'11. Амортиз. план'!J110</f>
        <v>18390.772087743193</v>
      </c>
      <c r="J11" s="1339">
        <f>'11. Амортиз. план'!L9+'11. Амортиз. план'!L110</f>
        <v>1365</v>
      </c>
      <c r="K11" s="1136">
        <f>J11</f>
        <v>1365</v>
      </c>
      <c r="L11" s="1136">
        <f>'11. Амортиз. план'!M9+'11. Амортиз. план'!M110</f>
        <v>1558</v>
      </c>
      <c r="M11" s="1136">
        <f>'11. Амортиз. план'!N9+'11. Амортиз. план'!N110</f>
        <v>2332.974927675989</v>
      </c>
      <c r="N11" s="1136">
        <f>'11. Амортиз. план'!O9+'11. Амортиз. план'!O110</f>
        <v>2555.4409226382049</v>
      </c>
      <c r="O11" s="1136">
        <f>'11. Амортиз. план'!P9+'11. Амортиз. план'!P110</f>
        <v>3277.8627380462904</v>
      </c>
      <c r="P11" s="1139">
        <f>'11. Амортиз. план'!Q9+'11. Амортиз. план'!Q110</f>
        <v>4618.0297272638745</v>
      </c>
      <c r="Q11" s="1339">
        <f>'11. Амортиз. план'!S9+'11. Амортиз. план'!S110</f>
        <v>65</v>
      </c>
      <c r="R11" s="1136">
        <f>Q11</f>
        <v>65</v>
      </c>
      <c r="S11" s="1137">
        <f>'11. Амортиз. план'!T9+'11. Амортиз. план'!T110</f>
        <v>239</v>
      </c>
      <c r="T11" s="1137">
        <f>'11. Амортиз. план'!U9+'11. Амортиз. план'!U110</f>
        <v>293.22565091610414</v>
      </c>
      <c r="U11" s="1137">
        <f>'11. Амортиз. план'!V9+'11. Амортиз. план'!V110</f>
        <v>620.46595318310665</v>
      </c>
      <c r="V11" s="1137">
        <f>'11. Амортиз. план'!W9+'11. Амортиз. план'!W110</f>
        <v>755.77297072696638</v>
      </c>
      <c r="W11" s="1138">
        <f>'11. Амортиз. план'!X9+'11. Амортиз. план'!X110</f>
        <v>842.19818499293262</v>
      </c>
    </row>
    <row r="12" spans="1:23" s="169" customFormat="1" ht="32.25" customHeight="1">
      <c r="A12" s="1134" t="s">
        <v>99</v>
      </c>
      <c r="B12" s="1135" t="s">
        <v>872</v>
      </c>
      <c r="C12" s="1339">
        <f>'11. Амортиз. план'!E31</f>
        <v>0</v>
      </c>
      <c r="D12" s="1136">
        <f>'11. Амортиз. план'!F31</f>
        <v>0</v>
      </c>
      <c r="E12" s="1136">
        <f>'11. Амортиз. план'!G31</f>
        <v>0</v>
      </c>
      <c r="F12" s="1136">
        <f>'11. Амортиз. план'!H31</f>
        <v>0</v>
      </c>
      <c r="G12" s="1136">
        <f>'11. Амортиз. план'!I31</f>
        <v>0</v>
      </c>
      <c r="H12" s="1136">
        <f>'11. Амортиз. план'!J31</f>
        <v>0</v>
      </c>
      <c r="I12" s="1139">
        <f>'11. Амортиз. план'!K31</f>
        <v>0</v>
      </c>
      <c r="J12" s="1339">
        <f>'11. Амортиз. план'!L31</f>
        <v>0</v>
      </c>
      <c r="K12" s="1136">
        <f>'11. Амортиз. план'!M31</f>
        <v>0</v>
      </c>
      <c r="L12" s="1136">
        <f>'11. Амортиз. план'!N31</f>
        <v>0</v>
      </c>
      <c r="M12" s="1136">
        <f>'11. Амортиз. план'!O31</f>
        <v>0</v>
      </c>
      <c r="N12" s="1136">
        <f>'11. Амортиз. план'!P31</f>
        <v>0</v>
      </c>
      <c r="O12" s="1136">
        <f>'11. Амортиз. план'!Q31</f>
        <v>0</v>
      </c>
      <c r="P12" s="1139">
        <f>'11. Амортиз. план'!R31</f>
        <v>0</v>
      </c>
      <c r="Q12" s="1339">
        <f>'11. Амортиз. план'!S31</f>
        <v>0</v>
      </c>
      <c r="R12" s="1137">
        <f>'11. Амортиз. план'!T31</f>
        <v>0</v>
      </c>
      <c r="S12" s="1137">
        <f>'11. Амортиз. план'!U31</f>
        <v>0</v>
      </c>
      <c r="T12" s="1137">
        <f>'11. Амортиз. план'!V31</f>
        <v>0</v>
      </c>
      <c r="U12" s="1137">
        <f>'11. Амортиз. план'!W31</f>
        <v>0</v>
      </c>
      <c r="V12" s="1137">
        <f>'11. Амортиз. план'!X31</f>
        <v>0</v>
      </c>
      <c r="W12" s="1138">
        <f>'11. Амортиз. план'!Y31</f>
        <v>0</v>
      </c>
    </row>
    <row r="13" spans="1:23" s="1472" customFormat="1" ht="24">
      <c r="A13" s="1473" t="s">
        <v>103</v>
      </c>
      <c r="B13" s="1468" t="s">
        <v>741</v>
      </c>
      <c r="C13" s="1474">
        <f>C14-C15</f>
        <v>4616</v>
      </c>
      <c r="D13" s="1475">
        <f t="shared" ref="D13:W13" si="2">D14-D15</f>
        <v>4616</v>
      </c>
      <c r="E13" s="1475">
        <f t="shared" si="2"/>
        <v>4930.6499999999987</v>
      </c>
      <c r="F13" s="1475">
        <f t="shared" si="2"/>
        <v>5307.3905012941032</v>
      </c>
      <c r="G13" s="1475">
        <f t="shared" si="2"/>
        <v>5757.6504929590319</v>
      </c>
      <c r="H13" s="1475">
        <f t="shared" si="2"/>
        <v>6284.1922798557844</v>
      </c>
      <c r="I13" s="1476">
        <f t="shared" si="2"/>
        <v>6931.0827930912983</v>
      </c>
      <c r="J13" s="1474">
        <f t="shared" si="2"/>
        <v>847</v>
      </c>
      <c r="K13" s="1475">
        <f t="shared" si="2"/>
        <v>847</v>
      </c>
      <c r="L13" s="1475">
        <f t="shared" si="2"/>
        <v>918.93999999999994</v>
      </c>
      <c r="M13" s="1475">
        <f t="shared" si="2"/>
        <v>1034.3564950279256</v>
      </c>
      <c r="N13" s="1475">
        <f t="shared" si="2"/>
        <v>1199.916340412381</v>
      </c>
      <c r="O13" s="1475">
        <f t="shared" si="2"/>
        <v>1390.2819178371985</v>
      </c>
      <c r="P13" s="1476">
        <f t="shared" si="2"/>
        <v>1622.4326099597788</v>
      </c>
      <c r="Q13" s="1474">
        <f t="shared" si="2"/>
        <v>29</v>
      </c>
      <c r="R13" s="1470">
        <f t="shared" si="2"/>
        <v>29</v>
      </c>
      <c r="S13" s="1470">
        <f t="shared" si="2"/>
        <v>37.519999999999996</v>
      </c>
      <c r="T13" s="1470">
        <f t="shared" si="2"/>
        <v>53.233003677973031</v>
      </c>
      <c r="U13" s="1470">
        <f t="shared" si="2"/>
        <v>82.803166628587746</v>
      </c>
      <c r="V13" s="1470">
        <f t="shared" si="2"/>
        <v>131.79080230701803</v>
      </c>
      <c r="W13" s="1471">
        <f t="shared" si="2"/>
        <v>189.50959694892441</v>
      </c>
    </row>
    <row r="14" spans="1:23" s="169" customFormat="1" ht="24">
      <c r="A14" s="1140" t="s">
        <v>105</v>
      </c>
      <c r="B14" s="1141" t="s">
        <v>921</v>
      </c>
      <c r="C14" s="1339">
        <f>'11. Амортиз. план'!E59+'11. Амортиз. план'!E150</f>
        <v>4616</v>
      </c>
      <c r="D14" s="1136">
        <f>C14</f>
        <v>4616</v>
      </c>
      <c r="E14" s="1136">
        <f>'11. Амортиз. план'!F59+'11. Амортиз. план'!F150</f>
        <v>4930.6499999999987</v>
      </c>
      <c r="F14" s="1136">
        <f>'11. Амортиз. план'!G59+'11. Амортиз. план'!G150</f>
        <v>5307.3905012941032</v>
      </c>
      <c r="G14" s="1136">
        <f>'11. Амортиз. план'!H59+'11. Амортиз. план'!H150</f>
        <v>5757.6504929590319</v>
      </c>
      <c r="H14" s="1136">
        <f>'11. Амортиз. план'!I59+'11. Амортиз. план'!I150</f>
        <v>6284.1922798557844</v>
      </c>
      <c r="I14" s="1139">
        <f>'11. Амортиз. план'!J59+'11. Амортиз. план'!J150</f>
        <v>6931.0827930912983</v>
      </c>
      <c r="J14" s="1339">
        <f>'11. Амортиз. план'!L59+'11. Амортиз. план'!L150</f>
        <v>847</v>
      </c>
      <c r="K14" s="1136">
        <f>J14</f>
        <v>847</v>
      </c>
      <c r="L14" s="1136">
        <f>'11. Амортиз. план'!M59+'11. Амортиз. план'!M150</f>
        <v>918.93999999999994</v>
      </c>
      <c r="M14" s="1136">
        <f>'11. Амортиз. план'!N59+'11. Амортиз. план'!N150</f>
        <v>1034.3564950279256</v>
      </c>
      <c r="N14" s="1136">
        <f>'11. Амортиз. план'!O59+'11. Амортиз. план'!O150</f>
        <v>1199.916340412381</v>
      </c>
      <c r="O14" s="1136">
        <f>'11. Амортиз. план'!P59+'11. Амортиз. план'!P150</f>
        <v>1390.2819178371985</v>
      </c>
      <c r="P14" s="1139">
        <f>'11. Амортиз. план'!Q59+'11. Амортиз. план'!Q150</f>
        <v>1622.4326099597788</v>
      </c>
      <c r="Q14" s="1339">
        <f>'11. Амортиз. план'!S59+'11. Амортиз. план'!S150</f>
        <v>29</v>
      </c>
      <c r="R14" s="1137">
        <f>Q14</f>
        <v>29</v>
      </c>
      <c r="S14" s="1137">
        <f>'11. Амортиз. план'!T59+'11. Амортиз. план'!T150</f>
        <v>37.519999999999996</v>
      </c>
      <c r="T14" s="1137">
        <f>'11. Амортиз. план'!U59+'11. Амортиз. план'!U150</f>
        <v>53.233003677973031</v>
      </c>
      <c r="U14" s="1137">
        <f>'11. Амортиз. план'!V59+'11. Амортиз. план'!V150</f>
        <v>82.803166628587746</v>
      </c>
      <c r="V14" s="1137">
        <f>'11. Амортиз. план'!W59+'11. Амортиз. план'!W150</f>
        <v>131.79080230701803</v>
      </c>
      <c r="W14" s="1138">
        <f>'11. Амортиз. план'!X59+'11. Амортиз. план'!X150</f>
        <v>189.50959694892441</v>
      </c>
    </row>
    <row r="15" spans="1:23" s="169" customFormat="1" ht="24">
      <c r="A15" s="1140" t="s">
        <v>107</v>
      </c>
      <c r="B15" s="1141" t="s">
        <v>873</v>
      </c>
      <c r="C15" s="1142">
        <f>'11. Амортиз. план'!E81</f>
        <v>0</v>
      </c>
      <c r="D15" s="1137">
        <f>'11. Амортиз. план'!F81</f>
        <v>0</v>
      </c>
      <c r="E15" s="1137">
        <f>'11. Амортиз. план'!G81</f>
        <v>0</v>
      </c>
      <c r="F15" s="1137">
        <f>'11. Амортиз. план'!H81</f>
        <v>0</v>
      </c>
      <c r="G15" s="1137">
        <f>'11. Амортиз. план'!I81</f>
        <v>0</v>
      </c>
      <c r="H15" s="1137">
        <f>'11. Амортиз. план'!J81</f>
        <v>0</v>
      </c>
      <c r="I15" s="1138">
        <f>'11. Амортиз. план'!K81</f>
        <v>0</v>
      </c>
      <c r="J15" s="1142">
        <f>'11. Амортиз. план'!L81</f>
        <v>0</v>
      </c>
      <c r="K15" s="1137">
        <f>'11. Амортиз. план'!M81</f>
        <v>0</v>
      </c>
      <c r="L15" s="1137">
        <f>'11. Амортиз. план'!N81</f>
        <v>0</v>
      </c>
      <c r="M15" s="1137">
        <f>'11. Амортиз. план'!O81</f>
        <v>0</v>
      </c>
      <c r="N15" s="1137">
        <f>'11. Амортиз. план'!P81</f>
        <v>0</v>
      </c>
      <c r="O15" s="1137">
        <f>'11. Амортиз. план'!Q81</f>
        <v>0</v>
      </c>
      <c r="P15" s="1138">
        <f>'11. Амортиз. план'!R81</f>
        <v>0</v>
      </c>
      <c r="Q15" s="1142">
        <f>'11. Амортиз. план'!S81</f>
        <v>0</v>
      </c>
      <c r="R15" s="1137">
        <f>'11. Амортиз. план'!T81</f>
        <v>0</v>
      </c>
      <c r="S15" s="1137">
        <f>'11. Амортиз. план'!U81</f>
        <v>0</v>
      </c>
      <c r="T15" s="1137">
        <f>'11. Амортиз. план'!V81</f>
        <v>0</v>
      </c>
      <c r="U15" s="1137">
        <f>'11. Амортиз. план'!W81</f>
        <v>0</v>
      </c>
      <c r="V15" s="1137">
        <f>'11. Амортиз. план'!X81</f>
        <v>0</v>
      </c>
      <c r="W15" s="1138">
        <f>'11. Амортиз. план'!Y81</f>
        <v>0</v>
      </c>
    </row>
    <row r="16" spans="1:23" s="1472" customFormat="1" ht="36">
      <c r="A16" s="1467" t="s">
        <v>110</v>
      </c>
      <c r="B16" s="1468" t="s">
        <v>742</v>
      </c>
      <c r="C16" s="1469">
        <f>(C17+C18)/2</f>
        <v>0</v>
      </c>
      <c r="D16" s="1470">
        <f t="shared" ref="D16:W16" si="3">(D17+D18)/2</f>
        <v>0</v>
      </c>
      <c r="E16" s="1470">
        <f t="shared" si="3"/>
        <v>0</v>
      </c>
      <c r="F16" s="1470">
        <f t="shared" si="3"/>
        <v>0</v>
      </c>
      <c r="G16" s="1470">
        <f t="shared" si="3"/>
        <v>0</v>
      </c>
      <c r="H16" s="1470">
        <f t="shared" si="3"/>
        <v>0</v>
      </c>
      <c r="I16" s="1471">
        <f t="shared" si="3"/>
        <v>0</v>
      </c>
      <c r="J16" s="1469">
        <f t="shared" si="3"/>
        <v>0</v>
      </c>
      <c r="K16" s="1470">
        <f t="shared" si="3"/>
        <v>0</v>
      </c>
      <c r="L16" s="1470">
        <f t="shared" si="3"/>
        <v>0</v>
      </c>
      <c r="M16" s="1470">
        <f t="shared" si="3"/>
        <v>0</v>
      </c>
      <c r="N16" s="1470">
        <f t="shared" si="3"/>
        <v>0</v>
      </c>
      <c r="O16" s="1470">
        <f t="shared" si="3"/>
        <v>0</v>
      </c>
      <c r="P16" s="1471">
        <f t="shared" si="3"/>
        <v>0</v>
      </c>
      <c r="Q16" s="1469">
        <f t="shared" si="3"/>
        <v>0</v>
      </c>
      <c r="R16" s="1470">
        <f t="shared" si="3"/>
        <v>0</v>
      </c>
      <c r="S16" s="1470">
        <f t="shared" si="3"/>
        <v>0</v>
      </c>
      <c r="T16" s="1470">
        <f t="shared" si="3"/>
        <v>0</v>
      </c>
      <c r="U16" s="1470">
        <f t="shared" si="3"/>
        <v>0</v>
      </c>
      <c r="V16" s="1470">
        <f t="shared" si="3"/>
        <v>0</v>
      </c>
      <c r="W16" s="1471">
        <f t="shared" si="3"/>
        <v>0</v>
      </c>
    </row>
    <row r="17" spans="1:23" s="169" customFormat="1" ht="27" customHeight="1">
      <c r="A17" s="1140" t="s">
        <v>227</v>
      </c>
      <c r="B17" s="1141" t="s">
        <v>255</v>
      </c>
      <c r="C17" s="1340">
        <f>IF('10. Финансиране на ИП'!C48=0,0,'10. Финансиране на ИП'!C48*'10. Финансиране на ИП'!C55+'10. Финансиране на ИП'!J48*'10. Финансиране на ИП'!J55)</f>
        <v>0</v>
      </c>
      <c r="D17" s="1338">
        <f>IF('10. Финансиране на ИП'!D48=0,0,'10. Финансиране на ИП'!D48*'10. Финансиране на ИП'!D55+'10. Финансиране на ИП'!K48*'10. Финансиране на ИП'!K55)</f>
        <v>0</v>
      </c>
      <c r="E17" s="1338">
        <f>IF('10. Финансиране на ИП'!E48=0,0,'10. Финансиране на ИП'!E48*'10. Финансиране на ИП'!E55+'10. Финансиране на ИП'!L48*'10. Финансиране на ИП'!L55)</f>
        <v>0</v>
      </c>
      <c r="F17" s="1338">
        <f>IF('10. Финансиране на ИП'!F48=0,0,'10. Финансиране на ИП'!F48*'10. Финансиране на ИП'!F55+'10. Финансиране на ИП'!M48*'10. Финансиране на ИП'!M55)</f>
        <v>0</v>
      </c>
      <c r="G17" s="1338">
        <f>IF('10. Финансиране на ИП'!G48=0,0,'10. Финансиране на ИП'!G48*'10. Финансиране на ИП'!G55+'10. Финансиране на ИП'!N48*'10. Финансиране на ИП'!N55)</f>
        <v>0</v>
      </c>
      <c r="H17" s="1338">
        <f>IF('10. Финансиране на ИП'!H48=0,0,'10. Финансиране на ИП'!H48*'10. Финансиране на ИП'!H55+'10. Финансиране на ИП'!O48*'10. Финансиране на ИП'!O55)</f>
        <v>0</v>
      </c>
      <c r="I17" s="1341">
        <f>IF('10. Финансиране на ИП'!I48=0,0,'10. Финансиране на ИП'!I48*'10. Финансиране на ИП'!I55+'10. Финансиране на ИП'!P48*'10. Финансиране на ИП'!P55)</f>
        <v>0</v>
      </c>
      <c r="J17" s="1340">
        <f>IF('10. Финансиране на ИП'!C48=0,0,'10. Финансиране на ИП'!C48*'10. Финансиране на ИП'!C56+'10. Финансиране на ИП'!J48*'10. Финансиране на ИП'!J56)</f>
        <v>0</v>
      </c>
      <c r="K17" s="1338">
        <f>IF('10. Финансиране на ИП'!D48=0,0,'10. Финансиране на ИП'!D48*'10. Финансиране на ИП'!D56+'10. Финансиране на ИП'!K48*'10. Финансиране на ИП'!K56)</f>
        <v>0</v>
      </c>
      <c r="L17" s="1338">
        <f>IF('10. Финансиране на ИП'!E48=0,0,'10. Финансиране на ИП'!E48*'10. Финансиране на ИП'!E56+'10. Финансиране на ИП'!L48*'10. Финансиране на ИП'!L56)</f>
        <v>0</v>
      </c>
      <c r="M17" s="1338">
        <f>IF('10. Финансиране на ИП'!F48=0,0,'10. Финансиране на ИП'!F48*'10. Финансиране на ИП'!F56+'10. Финансиране на ИП'!M48*'10. Финансиране на ИП'!M56)</f>
        <v>0</v>
      </c>
      <c r="N17" s="1338">
        <f>IF('10. Финансиране на ИП'!G48=0,0,'10. Финансиране на ИП'!G48*'10. Финансиране на ИП'!G56+'10. Финансиране на ИП'!N48*'10. Финансиране на ИП'!N56)</f>
        <v>0</v>
      </c>
      <c r="O17" s="1338">
        <f>IF('10. Финансиране на ИП'!H48=0,0,'10. Финансиране на ИП'!H48*'10. Финансиране на ИП'!H56+'10. Финансиране на ИП'!O48*'10. Финансиране на ИП'!O56)</f>
        <v>0</v>
      </c>
      <c r="P17" s="1341">
        <f>IF('10. Финансиране на ИП'!I48=0,0,'10. Финансиране на ИП'!I48*'10. Финансиране на ИП'!I56+'10. Финансиране на ИП'!P48*'10. Финансиране на ИП'!P56)</f>
        <v>0</v>
      </c>
      <c r="Q17" s="1340">
        <f>IF('10. Финансиране на ИП'!C48=0,0,'10. Финансиране на ИП'!C48*'10. Финансиране на ИП'!C57+'10. Финансиране на ИП'!J48*'10. Финансиране на ИП'!J57)</f>
        <v>0</v>
      </c>
      <c r="R17" s="1338">
        <f>IF('10. Финансиране на ИП'!D48=0,0,'10. Финансиране на ИП'!D48*'10. Финансиране на ИП'!D57+'10. Финансиране на ИП'!K48*'10. Финансиране на ИП'!K57)</f>
        <v>0</v>
      </c>
      <c r="S17" s="1338">
        <f>IF('10. Финансиране на ИП'!E48=0,0,'10. Финансиране на ИП'!E48*'10. Финансиране на ИП'!E57+'10. Финансиране на ИП'!L48*'10. Финансиране на ИП'!L57)</f>
        <v>0</v>
      </c>
      <c r="T17" s="1338">
        <f>IF('10. Финансиране на ИП'!F48=0,0,'10. Финансиране на ИП'!F48*'10. Финансиране на ИП'!F57+'10. Финансиране на ИП'!M48*'10. Финансиране на ИП'!M57)</f>
        <v>0</v>
      </c>
      <c r="U17" s="1338">
        <f>IF('10. Финансиране на ИП'!G48=0,0,'10. Финансиране на ИП'!G48*'10. Финансиране на ИП'!G57+'10. Финансиране на ИП'!N48*'10. Финансиране на ИП'!N57)</f>
        <v>0</v>
      </c>
      <c r="V17" s="1338">
        <f>IF('10. Финансиране на ИП'!H48=0,0,'10. Финансиране на ИП'!H48*'10. Финансиране на ИП'!H57+'10. Финансиране на ИП'!O48*'10. Финансиране на ИП'!O57)</f>
        <v>0</v>
      </c>
      <c r="W17" s="1341">
        <f>IF('10. Финансиране на ИП'!I48=0,0,'10. Финансиране на ИП'!I48*'10. Финансиране на ИП'!I57+'10. Финансиране на ИП'!P48*'10. Финансиране на ИП'!P57)</f>
        <v>0</v>
      </c>
    </row>
    <row r="18" spans="1:23" s="169" customFormat="1" ht="27" customHeight="1">
      <c r="A18" s="1140" t="s">
        <v>228</v>
      </c>
      <c r="B18" s="1141" t="s">
        <v>743</v>
      </c>
      <c r="C18" s="1340">
        <f>IF('10. Финансиране на ИП'!C54=0,0,'10. Финансиране на ИП'!C54*'10. Финансиране на ИП'!C55+'10. Финансиране на ИП'!J54*'10. Финансиране на ИП'!J55)</f>
        <v>0</v>
      </c>
      <c r="D18" s="1338">
        <f>IF('10. Финансиране на ИП'!D54=0,0,'10. Финансиране на ИП'!D54*'10. Финансиране на ИП'!D55+'10. Финансиране на ИП'!K54*'10. Финансиране на ИП'!K55)</f>
        <v>0</v>
      </c>
      <c r="E18" s="1338">
        <f>IF('10. Финансиране на ИП'!E54=0,0,'10. Финансиране на ИП'!E54*'10. Финансиране на ИП'!E55+'10. Финансиране на ИП'!L54*'10. Финансиране на ИП'!L55)</f>
        <v>0</v>
      </c>
      <c r="F18" s="1338">
        <f>IF('10. Финансиране на ИП'!F54=0,0,'10. Финансиране на ИП'!F54*'10. Финансиране на ИП'!F55+'10. Финансиране на ИП'!M54*'10. Финансиране на ИП'!M55)</f>
        <v>0</v>
      </c>
      <c r="G18" s="1338">
        <f>IF('10. Финансиране на ИП'!G54=0,0,'10. Финансиране на ИП'!G54*'10. Финансиране на ИП'!G55+'10. Финансиране на ИП'!N54*'10. Финансиране на ИП'!N55)</f>
        <v>0</v>
      </c>
      <c r="H18" s="1338">
        <f>IF('10. Финансиране на ИП'!H54=0,0,'10. Финансиране на ИП'!H54*'10. Финансиране на ИП'!H55+'10. Финансиране на ИП'!O54*'10. Финансиране на ИП'!O55)</f>
        <v>0</v>
      </c>
      <c r="I18" s="1341">
        <f>IF('10. Финансиране на ИП'!I54=0,0,'10. Финансиране на ИП'!I54*'10. Финансиране на ИП'!I55+'10. Финансиране на ИП'!P54*'10. Финансиране на ИП'!P55)</f>
        <v>0</v>
      </c>
      <c r="J18" s="1340">
        <f>IF('10. Финансиране на ИП'!C54=0,0,'10. Финансиране на ИП'!C54*'10. Финансиране на ИП'!C56+'10. Финансиране на ИП'!J54*'10. Финансиране на ИП'!J56)</f>
        <v>0</v>
      </c>
      <c r="K18" s="1338">
        <f>IF('10. Финансиране на ИП'!D54=0,0,'10. Финансиране на ИП'!D54*'10. Финансиране на ИП'!D56+'10. Финансиране на ИП'!K54*'10. Финансиране на ИП'!K56)</f>
        <v>0</v>
      </c>
      <c r="L18" s="1338">
        <f>IF('10. Финансиране на ИП'!E54=0,0,'10. Финансиране на ИП'!E54*'10. Финансиране на ИП'!E56+'10. Финансиране на ИП'!L54*'10. Финансиране на ИП'!L56)</f>
        <v>0</v>
      </c>
      <c r="M18" s="1338">
        <f>IF('10. Финансиране на ИП'!F54=0,0,'10. Финансиране на ИП'!F54*'10. Финансиране на ИП'!F56+'10. Финансиране на ИП'!M54*'10. Финансиране на ИП'!M56)</f>
        <v>0</v>
      </c>
      <c r="N18" s="1338">
        <f>IF('10. Финансиране на ИП'!G54=0,0,'10. Финансиране на ИП'!G54*'10. Финансиране на ИП'!G56+'10. Финансиране на ИП'!N54*'10. Финансиране на ИП'!N56)</f>
        <v>0</v>
      </c>
      <c r="O18" s="1338">
        <f>IF('10. Финансиране на ИП'!H54=0,0,'10. Финансиране на ИП'!H54*'10. Финансиране на ИП'!H56+'10. Финансиране на ИП'!O54*'10. Финансиране на ИП'!O56)</f>
        <v>0</v>
      </c>
      <c r="P18" s="1341">
        <f>IF('10. Финансиране на ИП'!I54=0,0,'10. Финансиране на ИП'!I54*'10. Финансиране на ИП'!I56+'10. Финансиране на ИП'!P54*'10. Финансиране на ИП'!P56)</f>
        <v>0</v>
      </c>
      <c r="Q18" s="1340">
        <f>IF('10. Финансиране на ИП'!C54=0,0,'10. Финансиране на ИП'!C54*'10. Финансиране на ИП'!C57+'10. Финансиране на ИП'!J54*'10. Финансиране на ИП'!J57)</f>
        <v>0</v>
      </c>
      <c r="R18" s="1338">
        <f>IF('10. Финансиране на ИП'!D54=0,0,'10. Финансиране на ИП'!D54*'10. Финансиране на ИП'!D57+'10. Финансиране на ИП'!K54*'10. Финансиране на ИП'!K57)</f>
        <v>0</v>
      </c>
      <c r="S18" s="1338">
        <f>IF('10. Финансиране на ИП'!E54=0,0,'10. Финансиране на ИП'!E54*'10. Финансиране на ИП'!E57+'10. Финансиране на ИП'!L54*'10. Финансиране на ИП'!L57)</f>
        <v>0</v>
      </c>
      <c r="T18" s="1338">
        <f>IF('10. Финансиране на ИП'!F54=0,0,'10. Финансиране на ИП'!F54*'10. Финансиране на ИП'!F57+'10. Финансиране на ИП'!M54*'10. Финансиране на ИП'!M57)</f>
        <v>0</v>
      </c>
      <c r="U18" s="1338">
        <f>IF('10. Финансиране на ИП'!G54=0,0,'10. Финансиране на ИП'!G54*'10. Финансиране на ИП'!G57+'10. Финансиране на ИП'!N54*'10. Финансиране на ИП'!N57)</f>
        <v>0</v>
      </c>
      <c r="V18" s="1338">
        <f>IF('10. Финансиране на ИП'!H54=0,0,'10. Финансиране на ИП'!H54*'10. Финансиране на ИП'!H57+'10. Финансиране на ИП'!O54*'10. Финансиране на ИП'!O57)</f>
        <v>0</v>
      </c>
      <c r="W18" s="1341">
        <f>IF('10. Финансиране на ИП'!I54=0,0,'10. Финансиране на ИП'!I54*'10. Финансиране на ИП'!I57+'10. Финансиране на ИП'!P54*'10. Финансиране на ИП'!P57)</f>
        <v>0</v>
      </c>
    </row>
    <row r="19" spans="1:23" s="1472" customFormat="1" ht="27" customHeight="1">
      <c r="A19" s="1482" t="s">
        <v>111</v>
      </c>
      <c r="B19" s="1468" t="s">
        <v>409</v>
      </c>
      <c r="C19" s="1483"/>
      <c r="D19" s="1470">
        <f>'9.Инвестиционна програма'!F87</f>
        <v>2066</v>
      </c>
      <c r="E19" s="1470">
        <f>'9.Инвестиционна програма'!G87</f>
        <v>1513.7994214079074</v>
      </c>
      <c r="F19" s="1470">
        <f>'9.Инвестиционна програма'!H87</f>
        <v>2299.2937027707808</v>
      </c>
      <c r="G19" s="1470">
        <f>'9.Инвестиционна програма'!I87</f>
        <v>2227.2711670480548</v>
      </c>
      <c r="H19" s="1470">
        <f>'9.Инвестиционна програма'!J87</f>
        <v>2741.4077965164502</v>
      </c>
      <c r="I19" s="1471">
        <f>'9.Инвестиционна програма'!K87</f>
        <v>2334.3928691557348</v>
      </c>
      <c r="J19" s="1483"/>
      <c r="K19" s="1470">
        <f>'9.Инвестиционна програма'!F88</f>
        <v>193</v>
      </c>
      <c r="L19" s="1470">
        <f>'9.Инвестиционна програма'!G88</f>
        <v>774.9749276759884</v>
      </c>
      <c r="M19" s="1470">
        <f>'9.Инвестиционна програма'!H88</f>
        <v>222.46599496221663</v>
      </c>
      <c r="N19" s="1470">
        <f>'9.Инвестиционна програма'!I88</f>
        <v>722.42181540808542</v>
      </c>
      <c r="O19" s="1470">
        <f>'9.Инвестиционна програма'!J88</f>
        <v>1340.1669892175837</v>
      </c>
      <c r="P19" s="1471">
        <f>'9.Инвестиционна програма'!K88</f>
        <v>1093.3232425159772</v>
      </c>
      <c r="Q19" s="1483"/>
      <c r="R19" s="1484">
        <f>'9.Инвестиционна програма'!F89</f>
        <v>174</v>
      </c>
      <c r="S19" s="1484">
        <f>'9.Инвестиционна програма'!G89</f>
        <v>54.225650916104144</v>
      </c>
      <c r="T19" s="1484">
        <f>'9.Инвестиционна програма'!H89</f>
        <v>327.24030226700251</v>
      </c>
      <c r="U19" s="1484">
        <f>'9.Инвестиционна програма'!I89</f>
        <v>135.30701754385964</v>
      </c>
      <c r="V19" s="1484">
        <f>'9.Инвестиционна програма'!J89</f>
        <v>86.425214265966275</v>
      </c>
      <c r="W19" s="1485">
        <f>'9.Инвестиционна програма'!K89</f>
        <v>86.283888328287929</v>
      </c>
    </row>
    <row r="20" spans="1:23" s="1472" customFormat="1" ht="27" customHeight="1" thickBot="1">
      <c r="A20" s="1486">
        <v>5</v>
      </c>
      <c r="B20" s="1487" t="s">
        <v>373</v>
      </c>
      <c r="C20" s="1488">
        <f>'18. OK'!D19</f>
        <v>1703.1616438356164</v>
      </c>
      <c r="D20" s="1489">
        <f>'18. OK'!E19</f>
        <v>1744.3890410958904</v>
      </c>
      <c r="E20" s="1489">
        <f>'18. OK'!F19</f>
        <v>1794.8383561643836</v>
      </c>
      <c r="F20" s="1489">
        <f>'18. OK'!G19</f>
        <v>1781.9340410958903</v>
      </c>
      <c r="G20" s="1489">
        <f>'18. OK'!H19</f>
        <v>1802.7512986301367</v>
      </c>
      <c r="H20" s="1489">
        <f>'18. OK'!I19</f>
        <v>2195.924893150685</v>
      </c>
      <c r="I20" s="1490">
        <f>'18. OK'!J19</f>
        <v>2178.082591780822</v>
      </c>
      <c r="J20" s="1488">
        <f>'18. OK'!D20</f>
        <v>138.92041643835614</v>
      </c>
      <c r="K20" s="1489">
        <f>'18. OK'!E20</f>
        <v>145.60269041095893</v>
      </c>
      <c r="L20" s="1489">
        <f>'18. OK'!F20</f>
        <v>147.5917315068493</v>
      </c>
      <c r="M20" s="1489">
        <f>'18. OK'!G20</f>
        <v>147.67056164383564</v>
      </c>
      <c r="N20" s="1489">
        <f>'18. OK'!H20</f>
        <v>153.98978630136986</v>
      </c>
      <c r="O20" s="1489">
        <f>'18. OK'!I20</f>
        <v>182.47958630136984</v>
      </c>
      <c r="P20" s="1490">
        <f>'18. OK'!J20</f>
        <v>181.53650958904115</v>
      </c>
      <c r="Q20" s="1488">
        <f>'18. OK'!D21</f>
        <v>285.69863013698631</v>
      </c>
      <c r="R20" s="1489">
        <f>'18. OK'!E21</f>
        <v>286.78356164383564</v>
      </c>
      <c r="S20" s="1489">
        <f>'18. OK'!F21</f>
        <v>292.56986301369864</v>
      </c>
      <c r="T20" s="1489">
        <f>'18. OK'!G21</f>
        <v>299.78712328767125</v>
      </c>
      <c r="U20" s="1489">
        <f>'18. OK'!H21</f>
        <v>401.79024657534245</v>
      </c>
      <c r="V20" s="1489">
        <f>'18. OK'!I21</f>
        <v>417.26712328767127</v>
      </c>
      <c r="W20" s="1490">
        <f>'18. OK'!J21</f>
        <v>415.41698630136989</v>
      </c>
    </row>
    <row r="21" spans="1:23" s="169" customFormat="1" ht="27" customHeight="1" thickBot="1">
      <c r="A21" s="1342">
        <v>6</v>
      </c>
      <c r="B21" s="1343" t="s">
        <v>372</v>
      </c>
      <c r="C21" s="1344">
        <f>C10-C13+C16+C19+C20</f>
        <v>4630.1616438356159</v>
      </c>
      <c r="D21" s="1345">
        <f>D10-D13+D16+D19+D20</f>
        <v>6737.3890410958902</v>
      </c>
      <c r="E21" s="1345">
        <f t="shared" ref="E21:V21" si="4">E10-E13+E16+E19+E20</f>
        <v>7986.9877775722925</v>
      </c>
      <c r="F21" s="1345">
        <f t="shared" si="4"/>
        <v>9896.6366639804746</v>
      </c>
      <c r="G21" s="1345">
        <f t="shared" si="4"/>
        <v>11694.465096897849</v>
      </c>
      <c r="H21" s="1345">
        <f t="shared" si="4"/>
        <v>14302.504701038093</v>
      </c>
      <c r="I21" s="1346">
        <f t="shared" si="4"/>
        <v>15972.164755588452</v>
      </c>
      <c r="J21" s="1344">
        <f t="shared" si="4"/>
        <v>656.92041643835614</v>
      </c>
      <c r="K21" s="1345">
        <f t="shared" si="4"/>
        <v>856.60269041095899</v>
      </c>
      <c r="L21" s="1345">
        <f t="shared" si="4"/>
        <v>1561.6266591828378</v>
      </c>
      <c r="M21" s="1345">
        <f t="shared" si="4"/>
        <v>1668.7549892541156</v>
      </c>
      <c r="N21" s="1345">
        <f t="shared" si="4"/>
        <v>2231.9361839352791</v>
      </c>
      <c r="O21" s="1345">
        <f t="shared" si="4"/>
        <v>3410.2273957280449</v>
      </c>
      <c r="P21" s="1346">
        <f t="shared" si="4"/>
        <v>4270.456869409114</v>
      </c>
      <c r="Q21" s="1344">
        <f t="shared" si="4"/>
        <v>321.69863013698631</v>
      </c>
      <c r="R21" s="1345">
        <f t="shared" si="4"/>
        <v>496.78356164383564</v>
      </c>
      <c r="S21" s="1345">
        <f t="shared" si="4"/>
        <v>548.27551392980286</v>
      </c>
      <c r="T21" s="1345">
        <f t="shared" si="4"/>
        <v>867.02007279280474</v>
      </c>
      <c r="U21" s="1345">
        <f t="shared" si="4"/>
        <v>1074.760050673721</v>
      </c>
      <c r="V21" s="1345">
        <f t="shared" si="4"/>
        <v>1127.6745059735858</v>
      </c>
      <c r="W21" s="1346">
        <f>W10-W13+W16+W19+W20</f>
        <v>1154.389462673666</v>
      </c>
    </row>
    <row r="22" spans="1:23">
      <c r="A22" s="394"/>
      <c r="B22" s="394"/>
      <c r="C22" s="394"/>
      <c r="D22" s="394"/>
      <c r="E22" s="394"/>
      <c r="F22" s="394"/>
      <c r="G22" s="394"/>
      <c r="H22" s="394"/>
      <c r="I22" s="394"/>
      <c r="J22" s="394"/>
    </row>
    <row r="24" spans="1:23" customFormat="1" ht="15">
      <c r="A24" s="72"/>
      <c r="B24" s="76"/>
      <c r="C24" s="74"/>
      <c r="D24" s="57"/>
      <c r="E24" s="75"/>
      <c r="P24" s="291" t="str">
        <f>'14. ОПР'!D49</f>
        <v>Главен счетоводител:</v>
      </c>
      <c r="Q24" s="393"/>
      <c r="R24" s="288"/>
      <c r="S24" s="218" t="s">
        <v>262</v>
      </c>
      <c r="T24" s="198"/>
      <c r="U24" s="198"/>
    </row>
    <row r="25" spans="1:23" customFormat="1" ht="14.25">
      <c r="A25" s="72"/>
      <c r="B25" s="395" t="str">
        <f>'16. Необходими приходи'!B29</f>
        <v>Дата: 27.08.2018 г.</v>
      </c>
      <c r="C25" s="74"/>
      <c r="D25" s="57"/>
      <c r="E25" s="393"/>
      <c r="F25" s="393"/>
      <c r="G25" s="393"/>
      <c r="H25" s="393"/>
      <c r="I25" s="393"/>
      <c r="J25" s="393"/>
      <c r="Q25" s="287"/>
      <c r="R25" s="219"/>
      <c r="S25" s="289"/>
      <c r="T25" s="290" t="s">
        <v>5</v>
      </c>
      <c r="U25" s="198"/>
    </row>
    <row r="26" spans="1:23" customFormat="1" ht="12.75">
      <c r="E26" s="393"/>
      <c r="F26" s="393"/>
      <c r="G26" s="393"/>
      <c r="H26" s="393"/>
      <c r="I26" s="393"/>
      <c r="J26" s="393"/>
      <c r="Q26" s="287"/>
      <c r="R26" s="219"/>
      <c r="S26" s="289"/>
      <c r="T26" s="290"/>
      <c r="U26" s="198"/>
    </row>
    <row r="27" spans="1:23" customFormat="1" ht="12.75">
      <c r="E27" s="393"/>
      <c r="F27" s="393"/>
      <c r="G27" s="393"/>
      <c r="H27" s="393"/>
      <c r="I27" s="393"/>
      <c r="J27" s="393"/>
      <c r="Q27" s="287"/>
      <c r="R27" s="219"/>
      <c r="S27" s="289"/>
      <c r="T27" s="290"/>
      <c r="U27" s="198"/>
    </row>
    <row r="28" spans="1:23" customFormat="1" ht="12.75">
      <c r="E28" s="393"/>
      <c r="F28" s="393"/>
      <c r="G28" s="393"/>
      <c r="H28" s="393"/>
      <c r="I28" s="393"/>
      <c r="J28" s="393"/>
      <c r="Q28" s="287"/>
      <c r="R28" s="219"/>
      <c r="S28" s="289"/>
      <c r="T28" s="290"/>
      <c r="U28" s="198"/>
    </row>
    <row r="29" spans="1:23" customFormat="1" ht="12.75">
      <c r="E29" s="393"/>
      <c r="F29" s="393"/>
      <c r="G29" s="393"/>
      <c r="H29" s="393"/>
      <c r="I29" s="393"/>
      <c r="J29" s="393"/>
      <c r="Q29" s="291" t="str">
        <f>'14. ОПР'!E54</f>
        <v>Управител:</v>
      </c>
      <c r="S29" s="218" t="s">
        <v>262</v>
      </c>
      <c r="T29" s="216"/>
      <c r="U29" s="198"/>
    </row>
    <row r="30" spans="1:23" customFormat="1" ht="12.75">
      <c r="E30" s="393"/>
      <c r="F30" s="393"/>
      <c r="G30" s="393"/>
      <c r="H30" s="393"/>
      <c r="I30" s="393"/>
      <c r="J30" s="393"/>
      <c r="Q30" s="287"/>
      <c r="R30" s="292"/>
      <c r="S30" s="289"/>
      <c r="T30" s="290" t="s">
        <v>6</v>
      </c>
      <c r="U30" s="198"/>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V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70C0"/>
  </sheetPr>
  <dimension ref="A1:P37"/>
  <sheetViews>
    <sheetView showGridLines="0" view="pageBreakPreview" zoomScale="85" zoomScaleNormal="100" zoomScaleSheetLayoutView="85" workbookViewId="0">
      <selection activeCell="D21" sqref="D21"/>
    </sheetView>
  </sheetViews>
  <sheetFormatPr defaultRowHeight="12.75"/>
  <cols>
    <col min="1" max="1" width="4.5703125" customWidth="1"/>
    <col min="2" max="2" width="79.140625" bestFit="1"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7"/>
      <c r="J1" s="51" t="str">
        <f>'17. РБА'!W1</f>
        <v>Приложение № 6</v>
      </c>
    </row>
    <row r="2" spans="1:10" s="79" customFormat="1" ht="18.75">
      <c r="A2" s="3696" t="s">
        <v>748</v>
      </c>
      <c r="B2" s="3696"/>
      <c r="C2" s="3696"/>
      <c r="D2" s="3696"/>
      <c r="E2" s="3696"/>
      <c r="F2" s="3696"/>
      <c r="G2" s="3696"/>
      <c r="H2" s="3696"/>
      <c r="I2" s="3696"/>
      <c r="J2" s="3696"/>
    </row>
    <row r="3" spans="1:10" s="80" customFormat="1" ht="18.75">
      <c r="A3" s="3697" t="s">
        <v>1421</v>
      </c>
      <c r="B3" s="3697"/>
      <c r="C3" s="3697"/>
      <c r="D3" s="3697"/>
      <c r="E3" s="3697"/>
      <c r="F3" s="3697"/>
      <c r="G3" s="3697"/>
      <c r="H3" s="3697"/>
      <c r="I3" s="3697"/>
      <c r="J3" s="3697"/>
    </row>
    <row r="4" spans="1:10" s="81" customFormat="1" ht="15.75" customHeight="1">
      <c r="A4" s="3698" t="str">
        <f>'1. Анкетна карта'!A3:J3</f>
        <v>на "Водоснабдяване и канализация" ЕООД , гр. Благоевград</v>
      </c>
      <c r="B4" s="3698"/>
      <c r="C4" s="3698"/>
      <c r="D4" s="3698"/>
      <c r="E4" s="3698"/>
      <c r="F4" s="3698"/>
      <c r="G4" s="3698"/>
      <c r="H4" s="3698"/>
      <c r="I4" s="3698"/>
      <c r="J4" s="3698"/>
    </row>
    <row r="5" spans="1:10" s="54" customFormat="1" ht="16.5" customHeight="1">
      <c r="A5" s="3698" t="str">
        <f>'1. Анкетна карта'!A4:J4</f>
        <v>ЕИК по БУЛСТАТ: 811047831</v>
      </c>
      <c r="B5" s="3698"/>
      <c r="C5" s="3698"/>
      <c r="D5" s="3698"/>
      <c r="E5" s="3698"/>
      <c r="F5" s="3698"/>
      <c r="G5" s="3698"/>
      <c r="H5" s="3698"/>
      <c r="I5" s="3698"/>
      <c r="J5" s="3698"/>
    </row>
    <row r="6" spans="1:10" s="54" customFormat="1" ht="15" customHeight="1" thickBot="1">
      <c r="A6" s="82"/>
      <c r="B6" s="82"/>
      <c r="C6" s="82"/>
      <c r="D6" s="82"/>
      <c r="E6" s="82"/>
    </row>
    <row r="7" spans="1:10" s="54" customFormat="1" ht="35.1" customHeight="1" thickBot="1">
      <c r="A7" s="2427" t="s">
        <v>1</v>
      </c>
      <c r="B7" s="2428" t="s">
        <v>374</v>
      </c>
      <c r="C7" s="2428" t="s">
        <v>222</v>
      </c>
      <c r="D7" s="2425" t="str">
        <f>'Приложение '!$G12</f>
        <v>2015 г.</v>
      </c>
      <c r="E7" s="2425" t="str">
        <f>'Приложение '!$G13</f>
        <v>2016 г.</v>
      </c>
      <c r="F7" s="2425" t="str">
        <f>'Приложение '!$G14</f>
        <v>2017 г.</v>
      </c>
      <c r="G7" s="2425" t="str">
        <f>'Приложение '!$G15</f>
        <v>2018 г.</v>
      </c>
      <c r="H7" s="2425" t="str">
        <f>'Приложение '!$G16</f>
        <v>2019 г.</v>
      </c>
      <c r="I7" s="2425" t="str">
        <f>'Приложение '!$G17</f>
        <v>2020 г.</v>
      </c>
      <c r="J7" s="2426" t="str">
        <f>'Приложение '!$G18</f>
        <v>2021 г.</v>
      </c>
    </row>
    <row r="8" spans="1:10" s="54" customFormat="1" ht="15" customHeight="1">
      <c r="A8" s="2429" t="s">
        <v>268</v>
      </c>
      <c r="B8" s="2430" t="s">
        <v>376</v>
      </c>
      <c r="C8" s="442" t="s">
        <v>377</v>
      </c>
      <c r="D8" s="801">
        <v>66</v>
      </c>
      <c r="E8" s="801">
        <v>66</v>
      </c>
      <c r="F8" s="801">
        <v>66</v>
      </c>
      <c r="G8" s="801">
        <v>65</v>
      </c>
      <c r="H8" s="801">
        <v>64</v>
      </c>
      <c r="I8" s="801">
        <v>63</v>
      </c>
      <c r="J8" s="802">
        <v>62</v>
      </c>
    </row>
    <row r="9" spans="1:10" s="54" customFormat="1" ht="15" customHeight="1">
      <c r="A9" s="83" t="s">
        <v>269</v>
      </c>
      <c r="B9" s="85" t="s">
        <v>379</v>
      </c>
      <c r="C9" s="84" t="s">
        <v>380</v>
      </c>
      <c r="D9" s="110">
        <f t="shared" ref="D9:J9" si="0">365/D8</f>
        <v>5.5303030303030303</v>
      </c>
      <c r="E9" s="110">
        <f t="shared" si="0"/>
        <v>5.5303030303030303</v>
      </c>
      <c r="F9" s="110">
        <f t="shared" si="0"/>
        <v>5.5303030303030303</v>
      </c>
      <c r="G9" s="110">
        <f t="shared" si="0"/>
        <v>5.615384615384615</v>
      </c>
      <c r="H9" s="110">
        <f t="shared" si="0"/>
        <v>5.703125</v>
      </c>
      <c r="I9" s="110">
        <f t="shared" si="0"/>
        <v>5.7936507936507935</v>
      </c>
      <c r="J9" s="518">
        <f t="shared" si="0"/>
        <v>5.887096774193548</v>
      </c>
    </row>
    <row r="10" spans="1:10" s="54" customFormat="1" ht="15" customHeight="1">
      <c r="A10" s="83" t="s">
        <v>282</v>
      </c>
      <c r="B10" s="86" t="s">
        <v>382</v>
      </c>
      <c r="C10" s="84" t="s">
        <v>361</v>
      </c>
      <c r="D10" s="111">
        <f t="shared" ref="D10:J10" si="1">D11-D12</f>
        <v>9419</v>
      </c>
      <c r="E10" s="111">
        <f t="shared" si="1"/>
        <v>9647</v>
      </c>
      <c r="F10" s="111">
        <f t="shared" si="1"/>
        <v>9926</v>
      </c>
      <c r="G10" s="111">
        <f t="shared" si="1"/>
        <v>10006.244999999999</v>
      </c>
      <c r="H10" s="111">
        <f t="shared" si="1"/>
        <v>10281.315999999999</v>
      </c>
      <c r="I10" s="111">
        <f t="shared" si="1"/>
        <v>12722.421999999999</v>
      </c>
      <c r="J10" s="519">
        <f t="shared" si="1"/>
        <v>12822.583000000001</v>
      </c>
    </row>
    <row r="11" spans="1:10" s="54" customFormat="1" ht="15" customHeight="1">
      <c r="A11" s="87" t="s">
        <v>327</v>
      </c>
      <c r="B11" s="88" t="s">
        <v>383</v>
      </c>
      <c r="C11" s="84" t="s">
        <v>361</v>
      </c>
      <c r="D11" s="112">
        <f>'12. Разходи'!C84</f>
        <v>10741</v>
      </c>
      <c r="E11" s="112">
        <f>'12. Разходи'!D84</f>
        <v>11751.65</v>
      </c>
      <c r="F11" s="112">
        <f>'12. Разходи'!E84</f>
        <v>11569.740501294102</v>
      </c>
      <c r="G11" s="112">
        <f>'12. Разходи'!F84</f>
        <v>12228.00499166493</v>
      </c>
      <c r="H11" s="112">
        <f>'12. Разходи'!G84</f>
        <v>12581.357786896751</v>
      </c>
      <c r="I11" s="112">
        <f>'12. Разходи'!H84</f>
        <v>15371.312513235513</v>
      </c>
      <c r="J11" s="520">
        <f>'12. Разходи'!I84</f>
        <v>15295.139610961598</v>
      </c>
    </row>
    <row r="12" spans="1:10" s="54" customFormat="1" ht="15" customHeight="1">
      <c r="A12" s="87" t="s">
        <v>328</v>
      </c>
      <c r="B12" s="88" t="s">
        <v>871</v>
      </c>
      <c r="C12" s="84" t="s">
        <v>361</v>
      </c>
      <c r="D12" s="112">
        <f>'12. Разходи'!C53</f>
        <v>1322</v>
      </c>
      <c r="E12" s="112">
        <f>'12. Разходи'!D53</f>
        <v>2104.65</v>
      </c>
      <c r="F12" s="112">
        <f>'12. Разходи'!E53</f>
        <v>1643.7405012941017</v>
      </c>
      <c r="G12" s="112">
        <f>'12. Разходи'!F53</f>
        <v>2221.7599916649301</v>
      </c>
      <c r="H12" s="112">
        <f>'12. Разходи'!G53</f>
        <v>2300.0417868967515</v>
      </c>
      <c r="I12" s="112">
        <f>'12. Разходи'!H53</f>
        <v>2648.8905132355135</v>
      </c>
      <c r="J12" s="520">
        <f>'12. Разходи'!I53</f>
        <v>2472.5566109615975</v>
      </c>
    </row>
    <row r="13" spans="1:10" s="54" customFormat="1" ht="15" customHeight="1">
      <c r="A13" s="83" t="s">
        <v>284</v>
      </c>
      <c r="B13" s="86" t="s">
        <v>385</v>
      </c>
      <c r="C13" s="84" t="s">
        <v>361</v>
      </c>
      <c r="D13" s="111">
        <f t="shared" ref="D13:J13" si="2">D14-D15</f>
        <v>768.27199999999993</v>
      </c>
      <c r="E13" s="111">
        <f t="shared" si="2"/>
        <v>805.22700000000009</v>
      </c>
      <c r="F13" s="111">
        <f t="shared" si="2"/>
        <v>816.22699999999998</v>
      </c>
      <c r="G13" s="111">
        <f t="shared" si="2"/>
        <v>829.22700000000009</v>
      </c>
      <c r="H13" s="111">
        <f t="shared" si="2"/>
        <v>878.22300000000007</v>
      </c>
      <c r="I13" s="111">
        <f t="shared" si="2"/>
        <v>1057.2229999999997</v>
      </c>
      <c r="J13" s="519">
        <f t="shared" si="2"/>
        <v>1068.7230000000002</v>
      </c>
    </row>
    <row r="14" spans="1:10" s="54" customFormat="1" ht="15" customHeight="1">
      <c r="A14" s="87" t="s">
        <v>768</v>
      </c>
      <c r="B14" s="88" t="s">
        <v>383</v>
      </c>
      <c r="C14" s="84" t="s">
        <v>361</v>
      </c>
      <c r="D14" s="112">
        <f>'12. Разходи'!J84</f>
        <v>832.27199999999993</v>
      </c>
      <c r="E14" s="112">
        <f>'12. Разходи'!K84</f>
        <v>999.16700000000003</v>
      </c>
      <c r="F14" s="112">
        <f>'12. Разходи'!L84</f>
        <v>931.64349502792538</v>
      </c>
      <c r="G14" s="112">
        <f>'12. Разходи'!M84</f>
        <v>1163.2868453844551</v>
      </c>
      <c r="H14" s="112">
        <f>'12. Разходи'!N84</f>
        <v>1690.5885774248181</v>
      </c>
      <c r="I14" s="112">
        <f>'12. Разходи'!O84</f>
        <v>2166.87369212258</v>
      </c>
      <c r="J14" s="520">
        <f>'12. Разходи'!P84</f>
        <v>2165.4331395581198</v>
      </c>
    </row>
    <row r="15" spans="1:10" s="89" customFormat="1" ht="15" customHeight="1">
      <c r="A15" s="87" t="s">
        <v>769</v>
      </c>
      <c r="B15" s="88" t="s">
        <v>871</v>
      </c>
      <c r="C15" s="84" t="s">
        <v>361</v>
      </c>
      <c r="D15" s="115">
        <f>'12. Разходи'!J53</f>
        <v>64</v>
      </c>
      <c r="E15" s="115">
        <f>'12. Разходи'!K53</f>
        <v>193.94</v>
      </c>
      <c r="F15" s="115">
        <f>'12. Разходи'!L53</f>
        <v>115.41649502792536</v>
      </c>
      <c r="G15" s="115">
        <f>'12. Разходи'!M53</f>
        <v>334.05984538445506</v>
      </c>
      <c r="H15" s="115">
        <f>'12. Разходи'!N53</f>
        <v>812.36557742481807</v>
      </c>
      <c r="I15" s="115">
        <f>'12. Разходи'!O53</f>
        <v>1109.6506921225803</v>
      </c>
      <c r="J15" s="520">
        <f>'12. Разходи'!P53</f>
        <v>1096.7101395581196</v>
      </c>
    </row>
    <row r="16" spans="1:10" s="89" customFormat="1" ht="15">
      <c r="A16" s="83" t="s">
        <v>375</v>
      </c>
      <c r="B16" s="86" t="s">
        <v>386</v>
      </c>
      <c r="C16" s="84" t="s">
        <v>361</v>
      </c>
      <c r="D16" s="111">
        <f t="shared" ref="D16:J16" si="3">D17-D18</f>
        <v>1580</v>
      </c>
      <c r="E16" s="111">
        <f t="shared" si="3"/>
        <v>1586</v>
      </c>
      <c r="F16" s="111">
        <f t="shared" si="3"/>
        <v>1618</v>
      </c>
      <c r="G16" s="111">
        <f t="shared" si="3"/>
        <v>1683.42</v>
      </c>
      <c r="H16" s="111">
        <f t="shared" si="3"/>
        <v>2291.46</v>
      </c>
      <c r="I16" s="111">
        <f t="shared" si="3"/>
        <v>2417.5</v>
      </c>
      <c r="J16" s="519">
        <f t="shared" si="3"/>
        <v>2445.6</v>
      </c>
    </row>
    <row r="17" spans="1:16" s="89" customFormat="1" ht="15">
      <c r="A17" s="87" t="s">
        <v>770</v>
      </c>
      <c r="B17" s="88" t="s">
        <v>383</v>
      </c>
      <c r="C17" s="84" t="s">
        <v>361</v>
      </c>
      <c r="D17" s="112">
        <f>'12. Разходи'!Q84</f>
        <v>1583.42</v>
      </c>
      <c r="E17" s="112">
        <f>'12. Разходи'!R84</f>
        <v>1740.52</v>
      </c>
      <c r="F17" s="112">
        <f>'12. Разходи'!S84</f>
        <v>1659.2130036779731</v>
      </c>
      <c r="G17" s="112">
        <f>'12. Разходи'!T84</f>
        <v>1861.4901629506148</v>
      </c>
      <c r="H17" s="112">
        <f>'12. Разходи'!U84</f>
        <v>2412.9476356784303</v>
      </c>
      <c r="I17" s="112">
        <f>'12. Разходи'!V84</f>
        <v>2496.2187946419062</v>
      </c>
      <c r="J17" s="520">
        <f>'12. Разходи'!W84</f>
        <v>2526.8032494802828</v>
      </c>
    </row>
    <row r="18" spans="1:16" s="89" customFormat="1" ht="15" customHeight="1" thickBot="1">
      <c r="A18" s="2431" t="s">
        <v>771</v>
      </c>
      <c r="B18" s="2432" t="s">
        <v>871</v>
      </c>
      <c r="C18" s="2433" t="s">
        <v>361</v>
      </c>
      <c r="D18" s="517">
        <f>'12. Разходи'!Q53</f>
        <v>3.419999999999999</v>
      </c>
      <c r="E18" s="517">
        <f>'12. Разходи'!R53</f>
        <v>154.52000000000001</v>
      </c>
      <c r="F18" s="517">
        <f>'12. Разходи'!S53</f>
        <v>41.213003677973035</v>
      </c>
      <c r="G18" s="517">
        <f>'12. Разходи'!T53</f>
        <v>178.0701629506147</v>
      </c>
      <c r="H18" s="517">
        <f>'12. Разходи'!U53</f>
        <v>121.48763567843029</v>
      </c>
      <c r="I18" s="517">
        <f>'12. Разходи'!V53</f>
        <v>78.718794641906413</v>
      </c>
      <c r="J18" s="521">
        <f>'12. Разходи'!W53</f>
        <v>81.203249480282977</v>
      </c>
      <c r="P18" s="109"/>
    </row>
    <row r="19" spans="1:16" s="54" customFormat="1" ht="15" thickBot="1">
      <c r="A19" s="396" t="s">
        <v>378</v>
      </c>
      <c r="B19" s="113" t="s">
        <v>387</v>
      </c>
      <c r="C19" s="90" t="s">
        <v>361</v>
      </c>
      <c r="D19" s="114">
        <f t="shared" ref="D19:J19" si="4">D10/D9</f>
        <v>1703.1616438356164</v>
      </c>
      <c r="E19" s="114">
        <f t="shared" si="4"/>
        <v>1744.3890410958904</v>
      </c>
      <c r="F19" s="114">
        <f t="shared" si="4"/>
        <v>1794.8383561643836</v>
      </c>
      <c r="G19" s="114">
        <f t="shared" si="4"/>
        <v>1781.9340410958903</v>
      </c>
      <c r="H19" s="114">
        <f t="shared" si="4"/>
        <v>1802.7512986301367</v>
      </c>
      <c r="I19" s="114">
        <f t="shared" si="4"/>
        <v>2195.924893150685</v>
      </c>
      <c r="J19" s="399">
        <f t="shared" si="4"/>
        <v>2178.082591780822</v>
      </c>
    </row>
    <row r="20" spans="1:16" s="91" customFormat="1" ht="15.75" thickBot="1">
      <c r="A20" s="396" t="s">
        <v>381</v>
      </c>
      <c r="B20" s="113" t="s">
        <v>388</v>
      </c>
      <c r="C20" s="90" t="s">
        <v>361</v>
      </c>
      <c r="D20" s="114">
        <f t="shared" ref="D20:J20" si="5">D13/D9</f>
        <v>138.92041643835614</v>
      </c>
      <c r="E20" s="114">
        <f t="shared" si="5"/>
        <v>145.60269041095893</v>
      </c>
      <c r="F20" s="114">
        <f t="shared" si="5"/>
        <v>147.5917315068493</v>
      </c>
      <c r="G20" s="114">
        <f t="shared" si="5"/>
        <v>147.67056164383564</v>
      </c>
      <c r="H20" s="114">
        <f t="shared" si="5"/>
        <v>153.98978630136986</v>
      </c>
      <c r="I20" s="114">
        <f t="shared" si="5"/>
        <v>182.47958630136984</v>
      </c>
      <c r="J20" s="399">
        <f t="shared" si="5"/>
        <v>181.53650958904115</v>
      </c>
    </row>
    <row r="21" spans="1:16" s="91" customFormat="1" ht="15.75" thickBot="1">
      <c r="A21" s="396" t="s">
        <v>384</v>
      </c>
      <c r="B21" s="113" t="s">
        <v>389</v>
      </c>
      <c r="C21" s="90" t="s">
        <v>361</v>
      </c>
      <c r="D21" s="114">
        <f t="shared" ref="D21:J21" si="6">D16/D9</f>
        <v>285.69863013698631</v>
      </c>
      <c r="E21" s="114">
        <f t="shared" si="6"/>
        <v>286.78356164383564</v>
      </c>
      <c r="F21" s="114">
        <f t="shared" si="6"/>
        <v>292.56986301369864</v>
      </c>
      <c r="G21" s="114">
        <f t="shared" si="6"/>
        <v>299.78712328767125</v>
      </c>
      <c r="H21" s="114">
        <f t="shared" si="6"/>
        <v>401.79024657534245</v>
      </c>
      <c r="I21" s="114">
        <f t="shared" si="6"/>
        <v>417.26712328767127</v>
      </c>
      <c r="J21" s="399">
        <f t="shared" si="6"/>
        <v>415.41698630136989</v>
      </c>
    </row>
    <row r="22" spans="1:16" s="91" customFormat="1" ht="15">
      <c r="A22" s="54"/>
      <c r="B22" s="54"/>
      <c r="C22" s="54"/>
      <c r="D22" s="54"/>
      <c r="E22" s="54"/>
    </row>
    <row r="23" spans="1:16" ht="15">
      <c r="A23" s="72"/>
      <c r="B23" s="76"/>
      <c r="C23" s="74"/>
      <c r="D23" s="74"/>
      <c r="E23" s="74"/>
    </row>
    <row r="24" spans="1:16" ht="15">
      <c r="A24" s="72"/>
      <c r="B24" s="395" t="str">
        <f>'17. РБА'!B25</f>
        <v>Дата: 27.08.2018 г.</v>
      </c>
      <c r="C24" s="74"/>
      <c r="D24" s="74"/>
      <c r="E24" s="74"/>
      <c r="F24" s="91" t="s">
        <v>263</v>
      </c>
      <c r="G24" s="91"/>
      <c r="H24" s="91"/>
      <c r="I24" s="91"/>
      <c r="J24" s="91"/>
    </row>
    <row r="25" spans="1:16">
      <c r="E25" s="532" t="str">
        <f>'14. ОПР'!D49</f>
        <v>Главен счетоводител:</v>
      </c>
      <c r="F25" s="288"/>
      <c r="G25" s="218" t="s">
        <v>262</v>
      </c>
      <c r="H25" s="198"/>
      <c r="I25" s="198"/>
    </row>
    <row r="26" spans="1:16">
      <c r="F26" s="219"/>
      <c r="G26" s="289"/>
      <c r="H26" s="290" t="s">
        <v>5</v>
      </c>
      <c r="I26" s="198"/>
    </row>
    <row r="27" spans="1:16">
      <c r="F27" s="219"/>
      <c r="G27" s="289"/>
      <c r="H27" s="290"/>
      <c r="I27" s="198"/>
    </row>
    <row r="28" spans="1:16">
      <c r="F28" s="219"/>
      <c r="G28" s="289"/>
      <c r="H28" s="290"/>
      <c r="I28" s="198"/>
    </row>
    <row r="29" spans="1:16">
      <c r="F29" s="219"/>
      <c r="G29" s="289"/>
      <c r="H29" s="290"/>
      <c r="I29" s="198"/>
    </row>
    <row r="30" spans="1:16">
      <c r="D30" s="2138"/>
      <c r="E30" s="2138" t="str">
        <f>'14. ОПР'!E54</f>
        <v>Управител:</v>
      </c>
      <c r="G30" s="218" t="s">
        <v>262</v>
      </c>
      <c r="H30" s="216"/>
      <c r="I30" s="198"/>
    </row>
    <row r="31" spans="1:16">
      <c r="A31" s="3655" t="s">
        <v>247</v>
      </c>
      <c r="B31" s="3655"/>
      <c r="C31" s="3655"/>
      <c r="D31" s="2139"/>
      <c r="E31" s="2139"/>
      <c r="F31" s="292"/>
      <c r="G31" s="289"/>
      <c r="H31" s="290" t="s">
        <v>6</v>
      </c>
      <c r="I31" s="198"/>
    </row>
    <row r="32" spans="1:16">
      <c r="A32" s="3658" t="s">
        <v>1497</v>
      </c>
      <c r="B32" s="3658"/>
      <c r="C32" s="3658"/>
      <c r="D32" s="2"/>
      <c r="E32" s="2"/>
      <c r="F32" s="2"/>
      <c r="G32" s="2"/>
    </row>
    <row r="33" spans="1:7" ht="13.5" thickBot="1">
      <c r="A33" s="2"/>
      <c r="B33" s="2"/>
      <c r="C33" s="2436" t="s">
        <v>1498</v>
      </c>
      <c r="D33" s="2436" t="s">
        <v>1499</v>
      </c>
      <c r="E33" s="2436" t="s">
        <v>1500</v>
      </c>
      <c r="F33" s="2436" t="s">
        <v>1501</v>
      </c>
      <c r="G33" s="2436" t="s">
        <v>1502</v>
      </c>
    </row>
    <row r="34" spans="1:7">
      <c r="A34" s="2"/>
      <c r="B34" s="2437" t="s">
        <v>1503</v>
      </c>
      <c r="C34" s="2434">
        <v>66</v>
      </c>
      <c r="D34" s="2434">
        <v>65</v>
      </c>
      <c r="E34" s="2434">
        <v>64</v>
      </c>
      <c r="F34" s="2434">
        <v>63</v>
      </c>
      <c r="G34" s="2434">
        <v>62</v>
      </c>
    </row>
    <row r="35" spans="1:7">
      <c r="A35" s="2"/>
      <c r="B35" s="2437" t="s">
        <v>1504</v>
      </c>
      <c r="C35" s="2435">
        <v>76</v>
      </c>
      <c r="D35" s="2435">
        <v>75</v>
      </c>
      <c r="E35" s="2435">
        <v>73</v>
      </c>
      <c r="F35" s="2435">
        <v>71</v>
      </c>
      <c r="G35" s="2435">
        <v>70</v>
      </c>
    </row>
    <row r="36" spans="1:7">
      <c r="A36" s="2"/>
      <c r="B36" s="2437" t="s">
        <v>1506</v>
      </c>
      <c r="C36" s="2435">
        <v>86</v>
      </c>
      <c r="D36" s="2435">
        <v>85</v>
      </c>
      <c r="E36" s="2435">
        <v>83</v>
      </c>
      <c r="F36" s="2435">
        <v>81</v>
      </c>
      <c r="G36" s="2435">
        <v>80</v>
      </c>
    </row>
    <row r="37" spans="1:7">
      <c r="A37" s="2"/>
      <c r="B37" s="2437" t="s">
        <v>1505</v>
      </c>
      <c r="C37" s="2435">
        <v>88</v>
      </c>
      <c r="D37" s="2435">
        <v>87</v>
      </c>
      <c r="E37" s="2435">
        <v>85</v>
      </c>
      <c r="F37" s="2435">
        <v>83</v>
      </c>
      <c r="G37" s="2435">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M51"/>
  <sheetViews>
    <sheetView showGridLines="0" view="pageBreakPreview" topLeftCell="A13" zoomScaleNormal="110" zoomScaleSheetLayoutView="100" workbookViewId="0">
      <selection activeCell="F31" sqref="F31"/>
    </sheetView>
  </sheetViews>
  <sheetFormatPr defaultColWidth="11.42578125" defaultRowHeight="12"/>
  <cols>
    <col min="1" max="1" width="4.5703125" style="94" customWidth="1"/>
    <col min="2" max="2" width="70.7109375" style="94" customWidth="1"/>
    <col min="3" max="5" width="8.7109375" style="94" customWidth="1"/>
    <col min="6" max="8" width="8.7109375" style="3" customWidth="1"/>
    <col min="9" max="10" width="8.7109375" style="94" customWidth="1"/>
    <col min="11" max="11" width="11.42578125" style="94"/>
    <col min="12" max="12" width="12" style="94" bestFit="1" customWidth="1"/>
    <col min="13" max="255" width="11.42578125" style="94"/>
    <col min="256" max="256" width="4.5703125" style="94" customWidth="1"/>
    <col min="257" max="257" width="70.7109375" style="94" customWidth="1"/>
    <col min="258" max="258" width="8.7109375" style="94" customWidth="1"/>
    <col min="259" max="260" width="10.7109375" style="94" customWidth="1"/>
    <col min="261" max="261" width="10.85546875" style="94" customWidth="1"/>
    <col min="262" max="263" width="10.42578125" style="94" customWidth="1"/>
    <col min="264" max="511" width="11.42578125" style="94"/>
    <col min="512" max="512" width="4.5703125" style="94" customWidth="1"/>
    <col min="513" max="513" width="70.7109375" style="94" customWidth="1"/>
    <col min="514" max="514" width="8.7109375" style="94" customWidth="1"/>
    <col min="515" max="516" width="10.7109375" style="94" customWidth="1"/>
    <col min="517" max="517" width="10.85546875" style="94" customWidth="1"/>
    <col min="518" max="519" width="10.42578125" style="94" customWidth="1"/>
    <col min="520" max="767" width="11.42578125" style="94"/>
    <col min="768" max="768" width="4.5703125" style="94" customWidth="1"/>
    <col min="769" max="769" width="70.7109375" style="94" customWidth="1"/>
    <col min="770" max="770" width="8.7109375" style="94" customWidth="1"/>
    <col min="771" max="772" width="10.7109375" style="94" customWidth="1"/>
    <col min="773" max="773" width="10.85546875" style="94" customWidth="1"/>
    <col min="774" max="775" width="10.42578125" style="94" customWidth="1"/>
    <col min="776" max="1023" width="11.42578125" style="94"/>
    <col min="1024" max="1024" width="4.5703125" style="94" customWidth="1"/>
    <col min="1025" max="1025" width="70.7109375" style="94" customWidth="1"/>
    <col min="1026" max="1026" width="8.7109375" style="94" customWidth="1"/>
    <col min="1027" max="1028" width="10.7109375" style="94" customWidth="1"/>
    <col min="1029" max="1029" width="10.85546875" style="94" customWidth="1"/>
    <col min="1030" max="1031" width="10.42578125" style="94" customWidth="1"/>
    <col min="1032" max="1279" width="11.42578125" style="94"/>
    <col min="1280" max="1280" width="4.5703125" style="94" customWidth="1"/>
    <col min="1281" max="1281" width="70.7109375" style="94" customWidth="1"/>
    <col min="1282" max="1282" width="8.7109375" style="94" customWidth="1"/>
    <col min="1283" max="1284" width="10.7109375" style="94" customWidth="1"/>
    <col min="1285" max="1285" width="10.85546875" style="94" customWidth="1"/>
    <col min="1286" max="1287" width="10.42578125" style="94" customWidth="1"/>
    <col min="1288" max="1535" width="11.42578125" style="94"/>
    <col min="1536" max="1536" width="4.5703125" style="94" customWidth="1"/>
    <col min="1537" max="1537" width="70.7109375" style="94" customWidth="1"/>
    <col min="1538" max="1538" width="8.7109375" style="94" customWidth="1"/>
    <col min="1539" max="1540" width="10.7109375" style="94" customWidth="1"/>
    <col min="1541" max="1541" width="10.85546875" style="94" customWidth="1"/>
    <col min="1542" max="1543" width="10.42578125" style="94" customWidth="1"/>
    <col min="1544" max="1791" width="11.42578125" style="94"/>
    <col min="1792" max="1792" width="4.5703125" style="94" customWidth="1"/>
    <col min="1793" max="1793" width="70.7109375" style="94" customWidth="1"/>
    <col min="1794" max="1794" width="8.7109375" style="94" customWidth="1"/>
    <col min="1795" max="1796" width="10.7109375" style="94" customWidth="1"/>
    <col min="1797" max="1797" width="10.85546875" style="94" customWidth="1"/>
    <col min="1798" max="1799" width="10.42578125" style="94" customWidth="1"/>
    <col min="1800" max="2047" width="11.42578125" style="94"/>
    <col min="2048" max="2048" width="4.5703125" style="94" customWidth="1"/>
    <col min="2049" max="2049" width="70.7109375" style="94" customWidth="1"/>
    <col min="2050" max="2050" width="8.7109375" style="94" customWidth="1"/>
    <col min="2051" max="2052" width="10.7109375" style="94" customWidth="1"/>
    <col min="2053" max="2053" width="10.85546875" style="94" customWidth="1"/>
    <col min="2054" max="2055" width="10.42578125" style="94" customWidth="1"/>
    <col min="2056" max="2303" width="11.42578125" style="94"/>
    <col min="2304" max="2304" width="4.5703125" style="94" customWidth="1"/>
    <col min="2305" max="2305" width="70.7109375" style="94" customWidth="1"/>
    <col min="2306" max="2306" width="8.7109375" style="94" customWidth="1"/>
    <col min="2307" max="2308" width="10.7109375" style="94" customWidth="1"/>
    <col min="2309" max="2309" width="10.85546875" style="94" customWidth="1"/>
    <col min="2310" max="2311" width="10.42578125" style="94" customWidth="1"/>
    <col min="2312" max="2559" width="11.42578125" style="94"/>
    <col min="2560" max="2560" width="4.5703125" style="94" customWidth="1"/>
    <col min="2561" max="2561" width="70.7109375" style="94" customWidth="1"/>
    <col min="2562" max="2562" width="8.7109375" style="94" customWidth="1"/>
    <col min="2563" max="2564" width="10.7109375" style="94" customWidth="1"/>
    <col min="2565" max="2565" width="10.85546875" style="94" customWidth="1"/>
    <col min="2566" max="2567" width="10.42578125" style="94" customWidth="1"/>
    <col min="2568" max="2815" width="11.42578125" style="94"/>
    <col min="2816" max="2816" width="4.5703125" style="94" customWidth="1"/>
    <col min="2817" max="2817" width="70.7109375" style="94" customWidth="1"/>
    <col min="2818" max="2818" width="8.7109375" style="94" customWidth="1"/>
    <col min="2819" max="2820" width="10.7109375" style="94" customWidth="1"/>
    <col min="2821" max="2821" width="10.85546875" style="94" customWidth="1"/>
    <col min="2822" max="2823" width="10.42578125" style="94" customWidth="1"/>
    <col min="2824" max="3071" width="11.42578125" style="94"/>
    <col min="3072" max="3072" width="4.5703125" style="94" customWidth="1"/>
    <col min="3073" max="3073" width="70.7109375" style="94" customWidth="1"/>
    <col min="3074" max="3074" width="8.7109375" style="94" customWidth="1"/>
    <col min="3075" max="3076" width="10.7109375" style="94" customWidth="1"/>
    <col min="3077" max="3077" width="10.85546875" style="94" customWidth="1"/>
    <col min="3078" max="3079" width="10.42578125" style="94" customWidth="1"/>
    <col min="3080" max="3327" width="11.42578125" style="94"/>
    <col min="3328" max="3328" width="4.5703125" style="94" customWidth="1"/>
    <col min="3329" max="3329" width="70.7109375" style="94" customWidth="1"/>
    <col min="3330" max="3330" width="8.7109375" style="94" customWidth="1"/>
    <col min="3331" max="3332" width="10.7109375" style="94" customWidth="1"/>
    <col min="3333" max="3333" width="10.85546875" style="94" customWidth="1"/>
    <col min="3334" max="3335" width="10.42578125" style="94" customWidth="1"/>
    <col min="3336" max="3583" width="11.42578125" style="94"/>
    <col min="3584" max="3584" width="4.5703125" style="94" customWidth="1"/>
    <col min="3585" max="3585" width="70.7109375" style="94" customWidth="1"/>
    <col min="3586" max="3586" width="8.7109375" style="94" customWidth="1"/>
    <col min="3587" max="3588" width="10.7109375" style="94" customWidth="1"/>
    <col min="3589" max="3589" width="10.85546875" style="94" customWidth="1"/>
    <col min="3590" max="3591" width="10.42578125" style="94" customWidth="1"/>
    <col min="3592" max="3839" width="11.42578125" style="94"/>
    <col min="3840" max="3840" width="4.5703125" style="94" customWidth="1"/>
    <col min="3841" max="3841" width="70.7109375" style="94" customWidth="1"/>
    <col min="3842" max="3842" width="8.7109375" style="94" customWidth="1"/>
    <col min="3843" max="3844" width="10.7109375" style="94" customWidth="1"/>
    <col min="3845" max="3845" width="10.85546875" style="94" customWidth="1"/>
    <col min="3846" max="3847" width="10.42578125" style="94" customWidth="1"/>
    <col min="3848" max="4095" width="11.42578125" style="94"/>
    <col min="4096" max="4096" width="4.5703125" style="94" customWidth="1"/>
    <col min="4097" max="4097" width="70.7109375" style="94" customWidth="1"/>
    <col min="4098" max="4098" width="8.7109375" style="94" customWidth="1"/>
    <col min="4099" max="4100" width="10.7109375" style="94" customWidth="1"/>
    <col min="4101" max="4101" width="10.85546875" style="94" customWidth="1"/>
    <col min="4102" max="4103" width="10.42578125" style="94" customWidth="1"/>
    <col min="4104" max="4351" width="11.42578125" style="94"/>
    <col min="4352" max="4352" width="4.5703125" style="94" customWidth="1"/>
    <col min="4353" max="4353" width="70.7109375" style="94" customWidth="1"/>
    <col min="4354" max="4354" width="8.7109375" style="94" customWidth="1"/>
    <col min="4355" max="4356" width="10.7109375" style="94" customWidth="1"/>
    <col min="4357" max="4357" width="10.85546875" style="94" customWidth="1"/>
    <col min="4358" max="4359" width="10.42578125" style="94" customWidth="1"/>
    <col min="4360" max="4607" width="11.42578125" style="94"/>
    <col min="4608" max="4608" width="4.5703125" style="94" customWidth="1"/>
    <col min="4609" max="4609" width="70.7109375" style="94" customWidth="1"/>
    <col min="4610" max="4610" width="8.7109375" style="94" customWidth="1"/>
    <col min="4611" max="4612" width="10.7109375" style="94" customWidth="1"/>
    <col min="4613" max="4613" width="10.85546875" style="94" customWidth="1"/>
    <col min="4614" max="4615" width="10.42578125" style="94" customWidth="1"/>
    <col min="4616" max="4863" width="11.42578125" style="94"/>
    <col min="4864" max="4864" width="4.5703125" style="94" customWidth="1"/>
    <col min="4865" max="4865" width="70.7109375" style="94" customWidth="1"/>
    <col min="4866" max="4866" width="8.7109375" style="94" customWidth="1"/>
    <col min="4867" max="4868" width="10.7109375" style="94" customWidth="1"/>
    <col min="4869" max="4869" width="10.85546875" style="94" customWidth="1"/>
    <col min="4870" max="4871" width="10.42578125" style="94" customWidth="1"/>
    <col min="4872" max="5119" width="11.42578125" style="94"/>
    <col min="5120" max="5120" width="4.5703125" style="94" customWidth="1"/>
    <col min="5121" max="5121" width="70.7109375" style="94" customWidth="1"/>
    <col min="5122" max="5122" width="8.7109375" style="94" customWidth="1"/>
    <col min="5123" max="5124" width="10.7109375" style="94" customWidth="1"/>
    <col min="5125" max="5125" width="10.85546875" style="94" customWidth="1"/>
    <col min="5126" max="5127" width="10.42578125" style="94" customWidth="1"/>
    <col min="5128" max="5375" width="11.42578125" style="94"/>
    <col min="5376" max="5376" width="4.5703125" style="94" customWidth="1"/>
    <col min="5377" max="5377" width="70.7109375" style="94" customWidth="1"/>
    <col min="5378" max="5378" width="8.7109375" style="94" customWidth="1"/>
    <col min="5379" max="5380" width="10.7109375" style="94" customWidth="1"/>
    <col min="5381" max="5381" width="10.85546875" style="94" customWidth="1"/>
    <col min="5382" max="5383" width="10.42578125" style="94" customWidth="1"/>
    <col min="5384" max="5631" width="11.42578125" style="94"/>
    <col min="5632" max="5632" width="4.5703125" style="94" customWidth="1"/>
    <col min="5633" max="5633" width="70.7109375" style="94" customWidth="1"/>
    <col min="5634" max="5634" width="8.7109375" style="94" customWidth="1"/>
    <col min="5635" max="5636" width="10.7109375" style="94" customWidth="1"/>
    <col min="5637" max="5637" width="10.85546875" style="94" customWidth="1"/>
    <col min="5638" max="5639" width="10.42578125" style="94" customWidth="1"/>
    <col min="5640" max="5887" width="11.42578125" style="94"/>
    <col min="5888" max="5888" width="4.5703125" style="94" customWidth="1"/>
    <col min="5889" max="5889" width="70.7109375" style="94" customWidth="1"/>
    <col min="5890" max="5890" width="8.7109375" style="94" customWidth="1"/>
    <col min="5891" max="5892" width="10.7109375" style="94" customWidth="1"/>
    <col min="5893" max="5893" width="10.85546875" style="94" customWidth="1"/>
    <col min="5894" max="5895" width="10.42578125" style="94" customWidth="1"/>
    <col min="5896" max="6143" width="11.42578125" style="94"/>
    <col min="6144" max="6144" width="4.5703125" style="94" customWidth="1"/>
    <col min="6145" max="6145" width="70.7109375" style="94" customWidth="1"/>
    <col min="6146" max="6146" width="8.7109375" style="94" customWidth="1"/>
    <col min="6147" max="6148" width="10.7109375" style="94" customWidth="1"/>
    <col min="6149" max="6149" width="10.85546875" style="94" customWidth="1"/>
    <col min="6150" max="6151" width="10.42578125" style="94" customWidth="1"/>
    <col min="6152" max="6399" width="11.42578125" style="94"/>
    <col min="6400" max="6400" width="4.5703125" style="94" customWidth="1"/>
    <col min="6401" max="6401" width="70.7109375" style="94" customWidth="1"/>
    <col min="6402" max="6402" width="8.7109375" style="94" customWidth="1"/>
    <col min="6403" max="6404" width="10.7109375" style="94" customWidth="1"/>
    <col min="6405" max="6405" width="10.85546875" style="94" customWidth="1"/>
    <col min="6406" max="6407" width="10.42578125" style="94" customWidth="1"/>
    <col min="6408" max="6655" width="11.42578125" style="94"/>
    <col min="6656" max="6656" width="4.5703125" style="94" customWidth="1"/>
    <col min="6657" max="6657" width="70.7109375" style="94" customWidth="1"/>
    <col min="6658" max="6658" width="8.7109375" style="94" customWidth="1"/>
    <col min="6659" max="6660" width="10.7109375" style="94" customWidth="1"/>
    <col min="6661" max="6661" width="10.85546875" style="94" customWidth="1"/>
    <col min="6662" max="6663" width="10.42578125" style="94" customWidth="1"/>
    <col min="6664" max="6911" width="11.42578125" style="94"/>
    <col min="6912" max="6912" width="4.5703125" style="94" customWidth="1"/>
    <col min="6913" max="6913" width="70.7109375" style="94" customWidth="1"/>
    <col min="6914" max="6914" width="8.7109375" style="94" customWidth="1"/>
    <col min="6915" max="6916" width="10.7109375" style="94" customWidth="1"/>
    <col min="6917" max="6917" width="10.85546875" style="94" customWidth="1"/>
    <col min="6918" max="6919" width="10.42578125" style="94" customWidth="1"/>
    <col min="6920" max="7167" width="11.42578125" style="94"/>
    <col min="7168" max="7168" width="4.5703125" style="94" customWidth="1"/>
    <col min="7169" max="7169" width="70.7109375" style="94" customWidth="1"/>
    <col min="7170" max="7170" width="8.7109375" style="94" customWidth="1"/>
    <col min="7171" max="7172" width="10.7109375" style="94" customWidth="1"/>
    <col min="7173" max="7173" width="10.85546875" style="94" customWidth="1"/>
    <col min="7174" max="7175" width="10.42578125" style="94" customWidth="1"/>
    <col min="7176" max="7423" width="11.42578125" style="94"/>
    <col min="7424" max="7424" width="4.5703125" style="94" customWidth="1"/>
    <col min="7425" max="7425" width="70.7109375" style="94" customWidth="1"/>
    <col min="7426" max="7426" width="8.7109375" style="94" customWidth="1"/>
    <col min="7427" max="7428" width="10.7109375" style="94" customWidth="1"/>
    <col min="7429" max="7429" width="10.85546875" style="94" customWidth="1"/>
    <col min="7430" max="7431" width="10.42578125" style="94" customWidth="1"/>
    <col min="7432" max="7679" width="11.42578125" style="94"/>
    <col min="7680" max="7680" width="4.5703125" style="94" customWidth="1"/>
    <col min="7681" max="7681" width="70.7109375" style="94" customWidth="1"/>
    <col min="7682" max="7682" width="8.7109375" style="94" customWidth="1"/>
    <col min="7683" max="7684" width="10.7109375" style="94" customWidth="1"/>
    <col min="7685" max="7685" width="10.85546875" style="94" customWidth="1"/>
    <col min="7686" max="7687" width="10.42578125" style="94" customWidth="1"/>
    <col min="7688" max="7935" width="11.42578125" style="94"/>
    <col min="7936" max="7936" width="4.5703125" style="94" customWidth="1"/>
    <col min="7937" max="7937" width="70.7109375" style="94" customWidth="1"/>
    <col min="7938" max="7938" width="8.7109375" style="94" customWidth="1"/>
    <col min="7939" max="7940" width="10.7109375" style="94" customWidth="1"/>
    <col min="7941" max="7941" width="10.85546875" style="94" customWidth="1"/>
    <col min="7942" max="7943" width="10.42578125" style="94" customWidth="1"/>
    <col min="7944" max="8191" width="11.42578125" style="94"/>
    <col min="8192" max="8192" width="4.5703125" style="94" customWidth="1"/>
    <col min="8193" max="8193" width="70.7109375" style="94" customWidth="1"/>
    <col min="8194" max="8194" width="8.7109375" style="94" customWidth="1"/>
    <col min="8195" max="8196" width="10.7109375" style="94" customWidth="1"/>
    <col min="8197" max="8197" width="10.85546875" style="94" customWidth="1"/>
    <col min="8198" max="8199" width="10.42578125" style="94" customWidth="1"/>
    <col min="8200" max="8447" width="11.42578125" style="94"/>
    <col min="8448" max="8448" width="4.5703125" style="94" customWidth="1"/>
    <col min="8449" max="8449" width="70.7109375" style="94" customWidth="1"/>
    <col min="8450" max="8450" width="8.7109375" style="94" customWidth="1"/>
    <col min="8451" max="8452" width="10.7109375" style="94" customWidth="1"/>
    <col min="8453" max="8453" width="10.85546875" style="94" customWidth="1"/>
    <col min="8454" max="8455" width="10.42578125" style="94" customWidth="1"/>
    <col min="8456" max="8703" width="11.42578125" style="94"/>
    <col min="8704" max="8704" width="4.5703125" style="94" customWidth="1"/>
    <col min="8705" max="8705" width="70.7109375" style="94" customWidth="1"/>
    <col min="8706" max="8706" width="8.7109375" style="94" customWidth="1"/>
    <col min="8707" max="8708" width="10.7109375" style="94" customWidth="1"/>
    <col min="8709" max="8709" width="10.85546875" style="94" customWidth="1"/>
    <col min="8710" max="8711" width="10.42578125" style="94" customWidth="1"/>
    <col min="8712" max="8959" width="11.42578125" style="94"/>
    <col min="8960" max="8960" width="4.5703125" style="94" customWidth="1"/>
    <col min="8961" max="8961" width="70.7109375" style="94" customWidth="1"/>
    <col min="8962" max="8962" width="8.7109375" style="94" customWidth="1"/>
    <col min="8963" max="8964" width="10.7109375" style="94" customWidth="1"/>
    <col min="8965" max="8965" width="10.85546875" style="94" customWidth="1"/>
    <col min="8966" max="8967" width="10.42578125" style="94" customWidth="1"/>
    <col min="8968" max="9215" width="11.42578125" style="94"/>
    <col min="9216" max="9216" width="4.5703125" style="94" customWidth="1"/>
    <col min="9217" max="9217" width="70.7109375" style="94" customWidth="1"/>
    <col min="9218" max="9218" width="8.7109375" style="94" customWidth="1"/>
    <col min="9219" max="9220" width="10.7109375" style="94" customWidth="1"/>
    <col min="9221" max="9221" width="10.85546875" style="94" customWidth="1"/>
    <col min="9222" max="9223" width="10.42578125" style="94" customWidth="1"/>
    <col min="9224" max="9471" width="11.42578125" style="94"/>
    <col min="9472" max="9472" width="4.5703125" style="94" customWidth="1"/>
    <col min="9473" max="9473" width="70.7109375" style="94" customWidth="1"/>
    <col min="9474" max="9474" width="8.7109375" style="94" customWidth="1"/>
    <col min="9475" max="9476" width="10.7109375" style="94" customWidth="1"/>
    <col min="9477" max="9477" width="10.85546875" style="94" customWidth="1"/>
    <col min="9478" max="9479" width="10.42578125" style="94" customWidth="1"/>
    <col min="9480" max="9727" width="11.42578125" style="94"/>
    <col min="9728" max="9728" width="4.5703125" style="94" customWidth="1"/>
    <col min="9729" max="9729" width="70.7109375" style="94" customWidth="1"/>
    <col min="9730" max="9730" width="8.7109375" style="94" customWidth="1"/>
    <col min="9731" max="9732" width="10.7109375" style="94" customWidth="1"/>
    <col min="9733" max="9733" width="10.85546875" style="94" customWidth="1"/>
    <col min="9734" max="9735" width="10.42578125" style="94" customWidth="1"/>
    <col min="9736" max="9983" width="11.42578125" style="94"/>
    <col min="9984" max="9984" width="4.5703125" style="94" customWidth="1"/>
    <col min="9985" max="9985" width="70.7109375" style="94" customWidth="1"/>
    <col min="9986" max="9986" width="8.7109375" style="94" customWidth="1"/>
    <col min="9987" max="9988" width="10.7109375" style="94" customWidth="1"/>
    <col min="9989" max="9989" width="10.85546875" style="94" customWidth="1"/>
    <col min="9990" max="9991" width="10.42578125" style="94" customWidth="1"/>
    <col min="9992" max="10239" width="11.42578125" style="94"/>
    <col min="10240" max="10240" width="4.5703125" style="94" customWidth="1"/>
    <col min="10241" max="10241" width="70.7109375" style="94" customWidth="1"/>
    <col min="10242" max="10242" width="8.7109375" style="94" customWidth="1"/>
    <col min="10243" max="10244" width="10.7109375" style="94" customWidth="1"/>
    <col min="10245" max="10245" width="10.85546875" style="94" customWidth="1"/>
    <col min="10246" max="10247" width="10.42578125" style="94" customWidth="1"/>
    <col min="10248" max="10495" width="11.42578125" style="94"/>
    <col min="10496" max="10496" width="4.5703125" style="94" customWidth="1"/>
    <col min="10497" max="10497" width="70.7109375" style="94" customWidth="1"/>
    <col min="10498" max="10498" width="8.7109375" style="94" customWidth="1"/>
    <col min="10499" max="10500" width="10.7109375" style="94" customWidth="1"/>
    <col min="10501" max="10501" width="10.85546875" style="94" customWidth="1"/>
    <col min="10502" max="10503" width="10.42578125" style="94" customWidth="1"/>
    <col min="10504" max="10751" width="11.42578125" style="94"/>
    <col min="10752" max="10752" width="4.5703125" style="94" customWidth="1"/>
    <col min="10753" max="10753" width="70.7109375" style="94" customWidth="1"/>
    <col min="10754" max="10754" width="8.7109375" style="94" customWidth="1"/>
    <col min="10755" max="10756" width="10.7109375" style="94" customWidth="1"/>
    <col min="10757" max="10757" width="10.85546875" style="94" customWidth="1"/>
    <col min="10758" max="10759" width="10.42578125" style="94" customWidth="1"/>
    <col min="10760" max="11007" width="11.42578125" style="94"/>
    <col min="11008" max="11008" width="4.5703125" style="94" customWidth="1"/>
    <col min="11009" max="11009" width="70.7109375" style="94" customWidth="1"/>
    <col min="11010" max="11010" width="8.7109375" style="94" customWidth="1"/>
    <col min="11011" max="11012" width="10.7109375" style="94" customWidth="1"/>
    <col min="11013" max="11013" width="10.85546875" style="94" customWidth="1"/>
    <col min="11014" max="11015" width="10.42578125" style="94" customWidth="1"/>
    <col min="11016" max="11263" width="11.42578125" style="94"/>
    <col min="11264" max="11264" width="4.5703125" style="94" customWidth="1"/>
    <col min="11265" max="11265" width="70.7109375" style="94" customWidth="1"/>
    <col min="11266" max="11266" width="8.7109375" style="94" customWidth="1"/>
    <col min="11267" max="11268" width="10.7109375" style="94" customWidth="1"/>
    <col min="11269" max="11269" width="10.85546875" style="94" customWidth="1"/>
    <col min="11270" max="11271" width="10.42578125" style="94" customWidth="1"/>
    <col min="11272" max="11519" width="11.42578125" style="94"/>
    <col min="11520" max="11520" width="4.5703125" style="94" customWidth="1"/>
    <col min="11521" max="11521" width="70.7109375" style="94" customWidth="1"/>
    <col min="11522" max="11522" width="8.7109375" style="94" customWidth="1"/>
    <col min="11523" max="11524" width="10.7109375" style="94" customWidth="1"/>
    <col min="11525" max="11525" width="10.85546875" style="94" customWidth="1"/>
    <col min="11526" max="11527" width="10.42578125" style="94" customWidth="1"/>
    <col min="11528" max="11775" width="11.42578125" style="94"/>
    <col min="11776" max="11776" width="4.5703125" style="94" customWidth="1"/>
    <col min="11777" max="11777" width="70.7109375" style="94" customWidth="1"/>
    <col min="11778" max="11778" width="8.7109375" style="94" customWidth="1"/>
    <col min="11779" max="11780" width="10.7109375" style="94" customWidth="1"/>
    <col min="11781" max="11781" width="10.85546875" style="94" customWidth="1"/>
    <col min="11782" max="11783" width="10.42578125" style="94" customWidth="1"/>
    <col min="11784" max="12031" width="11.42578125" style="94"/>
    <col min="12032" max="12032" width="4.5703125" style="94" customWidth="1"/>
    <col min="12033" max="12033" width="70.7109375" style="94" customWidth="1"/>
    <col min="12034" max="12034" width="8.7109375" style="94" customWidth="1"/>
    <col min="12035" max="12036" width="10.7109375" style="94" customWidth="1"/>
    <col min="12037" max="12037" width="10.85546875" style="94" customWidth="1"/>
    <col min="12038" max="12039" width="10.42578125" style="94" customWidth="1"/>
    <col min="12040" max="12287" width="11.42578125" style="94"/>
    <col min="12288" max="12288" width="4.5703125" style="94" customWidth="1"/>
    <col min="12289" max="12289" width="70.7109375" style="94" customWidth="1"/>
    <col min="12290" max="12290" width="8.7109375" style="94" customWidth="1"/>
    <col min="12291" max="12292" width="10.7109375" style="94" customWidth="1"/>
    <col min="12293" max="12293" width="10.85546875" style="94" customWidth="1"/>
    <col min="12294" max="12295" width="10.42578125" style="94" customWidth="1"/>
    <col min="12296" max="12543" width="11.42578125" style="94"/>
    <col min="12544" max="12544" width="4.5703125" style="94" customWidth="1"/>
    <col min="12545" max="12545" width="70.7109375" style="94" customWidth="1"/>
    <col min="12546" max="12546" width="8.7109375" style="94" customWidth="1"/>
    <col min="12547" max="12548" width="10.7109375" style="94" customWidth="1"/>
    <col min="12549" max="12549" width="10.85546875" style="94" customWidth="1"/>
    <col min="12550" max="12551" width="10.42578125" style="94" customWidth="1"/>
    <col min="12552" max="12799" width="11.42578125" style="94"/>
    <col min="12800" max="12800" width="4.5703125" style="94" customWidth="1"/>
    <col min="12801" max="12801" width="70.7109375" style="94" customWidth="1"/>
    <col min="12802" max="12802" width="8.7109375" style="94" customWidth="1"/>
    <col min="12803" max="12804" width="10.7109375" style="94" customWidth="1"/>
    <col min="12805" max="12805" width="10.85546875" style="94" customWidth="1"/>
    <col min="12806" max="12807" width="10.42578125" style="94" customWidth="1"/>
    <col min="12808" max="13055" width="11.42578125" style="94"/>
    <col min="13056" max="13056" width="4.5703125" style="94" customWidth="1"/>
    <col min="13057" max="13057" width="70.7109375" style="94" customWidth="1"/>
    <col min="13058" max="13058" width="8.7109375" style="94" customWidth="1"/>
    <col min="13059" max="13060" width="10.7109375" style="94" customWidth="1"/>
    <col min="13061" max="13061" width="10.85546875" style="94" customWidth="1"/>
    <col min="13062" max="13063" width="10.42578125" style="94" customWidth="1"/>
    <col min="13064" max="13311" width="11.42578125" style="94"/>
    <col min="13312" max="13312" width="4.5703125" style="94" customWidth="1"/>
    <col min="13313" max="13313" width="70.7109375" style="94" customWidth="1"/>
    <col min="13314" max="13314" width="8.7109375" style="94" customWidth="1"/>
    <col min="13315" max="13316" width="10.7109375" style="94" customWidth="1"/>
    <col min="13317" max="13317" width="10.85546875" style="94" customWidth="1"/>
    <col min="13318" max="13319" width="10.42578125" style="94" customWidth="1"/>
    <col min="13320" max="13567" width="11.42578125" style="94"/>
    <col min="13568" max="13568" width="4.5703125" style="94" customWidth="1"/>
    <col min="13569" max="13569" width="70.7109375" style="94" customWidth="1"/>
    <col min="13570" max="13570" width="8.7109375" style="94" customWidth="1"/>
    <col min="13571" max="13572" width="10.7109375" style="94" customWidth="1"/>
    <col min="13573" max="13573" width="10.85546875" style="94" customWidth="1"/>
    <col min="13574" max="13575" width="10.42578125" style="94" customWidth="1"/>
    <col min="13576" max="13823" width="11.42578125" style="94"/>
    <col min="13824" max="13824" width="4.5703125" style="94" customWidth="1"/>
    <col min="13825" max="13825" width="70.7109375" style="94" customWidth="1"/>
    <col min="13826" max="13826" width="8.7109375" style="94" customWidth="1"/>
    <col min="13827" max="13828" width="10.7109375" style="94" customWidth="1"/>
    <col min="13829" max="13829" width="10.85546875" style="94" customWidth="1"/>
    <col min="13830" max="13831" width="10.42578125" style="94" customWidth="1"/>
    <col min="13832" max="14079" width="11.42578125" style="94"/>
    <col min="14080" max="14080" width="4.5703125" style="94" customWidth="1"/>
    <col min="14081" max="14081" width="70.7109375" style="94" customWidth="1"/>
    <col min="14082" max="14082" width="8.7109375" style="94" customWidth="1"/>
    <col min="14083" max="14084" width="10.7109375" style="94" customWidth="1"/>
    <col min="14085" max="14085" width="10.85546875" style="94" customWidth="1"/>
    <col min="14086" max="14087" width="10.42578125" style="94" customWidth="1"/>
    <col min="14088" max="14335" width="11.42578125" style="94"/>
    <col min="14336" max="14336" width="4.5703125" style="94" customWidth="1"/>
    <col min="14337" max="14337" width="70.7109375" style="94" customWidth="1"/>
    <col min="14338" max="14338" width="8.7109375" style="94" customWidth="1"/>
    <col min="14339" max="14340" width="10.7109375" style="94" customWidth="1"/>
    <col min="14341" max="14341" width="10.85546875" style="94" customWidth="1"/>
    <col min="14342" max="14343" width="10.42578125" style="94" customWidth="1"/>
    <col min="14344" max="14591" width="11.42578125" style="94"/>
    <col min="14592" max="14592" width="4.5703125" style="94" customWidth="1"/>
    <col min="14593" max="14593" width="70.7109375" style="94" customWidth="1"/>
    <col min="14594" max="14594" width="8.7109375" style="94" customWidth="1"/>
    <col min="14595" max="14596" width="10.7109375" style="94" customWidth="1"/>
    <col min="14597" max="14597" width="10.85546875" style="94" customWidth="1"/>
    <col min="14598" max="14599" width="10.42578125" style="94" customWidth="1"/>
    <col min="14600" max="14847" width="11.42578125" style="94"/>
    <col min="14848" max="14848" width="4.5703125" style="94" customWidth="1"/>
    <col min="14849" max="14849" width="70.7109375" style="94" customWidth="1"/>
    <col min="14850" max="14850" width="8.7109375" style="94" customWidth="1"/>
    <col min="14851" max="14852" width="10.7109375" style="94" customWidth="1"/>
    <col min="14853" max="14853" width="10.85546875" style="94" customWidth="1"/>
    <col min="14854" max="14855" width="10.42578125" style="94" customWidth="1"/>
    <col min="14856" max="15103" width="11.42578125" style="94"/>
    <col min="15104" max="15104" width="4.5703125" style="94" customWidth="1"/>
    <col min="15105" max="15105" width="70.7109375" style="94" customWidth="1"/>
    <col min="15106" max="15106" width="8.7109375" style="94" customWidth="1"/>
    <col min="15107" max="15108" width="10.7109375" style="94" customWidth="1"/>
    <col min="15109" max="15109" width="10.85546875" style="94" customWidth="1"/>
    <col min="15110" max="15111" width="10.42578125" style="94" customWidth="1"/>
    <col min="15112" max="15359" width="11.42578125" style="94"/>
    <col min="15360" max="15360" width="4.5703125" style="94" customWidth="1"/>
    <col min="15361" max="15361" width="70.7109375" style="94" customWidth="1"/>
    <col min="15362" max="15362" width="8.7109375" style="94" customWidth="1"/>
    <col min="15363" max="15364" width="10.7109375" style="94" customWidth="1"/>
    <col min="15365" max="15365" width="10.85546875" style="94" customWidth="1"/>
    <col min="15366" max="15367" width="10.42578125" style="94" customWidth="1"/>
    <col min="15368" max="15615" width="11.42578125" style="94"/>
    <col min="15616" max="15616" width="4.5703125" style="94" customWidth="1"/>
    <col min="15617" max="15617" width="70.7109375" style="94" customWidth="1"/>
    <col min="15618" max="15618" width="8.7109375" style="94" customWidth="1"/>
    <col min="15619" max="15620" width="10.7109375" style="94" customWidth="1"/>
    <col min="15621" max="15621" width="10.85546875" style="94" customWidth="1"/>
    <col min="15622" max="15623" width="10.42578125" style="94" customWidth="1"/>
    <col min="15624" max="15871" width="11.42578125" style="94"/>
    <col min="15872" max="15872" width="4.5703125" style="94" customWidth="1"/>
    <col min="15873" max="15873" width="70.7109375" style="94" customWidth="1"/>
    <col min="15874" max="15874" width="8.7109375" style="94" customWidth="1"/>
    <col min="15875" max="15876" width="10.7109375" style="94" customWidth="1"/>
    <col min="15877" max="15877" width="10.85546875" style="94" customWidth="1"/>
    <col min="15878" max="15879" width="10.42578125" style="94" customWidth="1"/>
    <col min="15880" max="16127" width="11.42578125" style="94"/>
    <col min="16128" max="16128" width="4.5703125" style="94" customWidth="1"/>
    <col min="16129" max="16129" width="70.7109375" style="94" customWidth="1"/>
    <col min="16130" max="16130" width="8.7109375" style="94" customWidth="1"/>
    <col min="16131" max="16132" width="10.7109375" style="94" customWidth="1"/>
    <col min="16133" max="16133" width="10.85546875" style="94" customWidth="1"/>
    <col min="16134" max="16135" width="10.42578125" style="94" customWidth="1"/>
    <col min="16136" max="16384" width="11.42578125" style="94"/>
  </cols>
  <sheetData>
    <row r="1" spans="1:12" ht="13.5">
      <c r="I1" s="387"/>
      <c r="J1" s="51" t="str">
        <f>'18. OK'!J1</f>
        <v>Приложение № 6</v>
      </c>
    </row>
    <row r="2" spans="1:12" s="70" customFormat="1" ht="14.25" customHeight="1">
      <c r="A2" s="3700" t="s">
        <v>749</v>
      </c>
      <c r="B2" s="3700"/>
      <c r="C2" s="3700"/>
      <c r="D2" s="3700"/>
      <c r="E2" s="3700"/>
      <c r="F2" s="3700"/>
      <c r="G2" s="3700"/>
      <c r="H2" s="3700"/>
      <c r="I2" s="3700"/>
      <c r="J2" s="3700"/>
    </row>
    <row r="3" spans="1:12" s="93" customFormat="1" ht="18.75">
      <c r="A3" s="3701" t="s">
        <v>1422</v>
      </c>
      <c r="B3" s="3701"/>
      <c r="C3" s="3701"/>
      <c r="D3" s="3701"/>
      <c r="E3" s="3701"/>
      <c r="F3" s="3701"/>
      <c r="G3" s="3701"/>
      <c r="H3" s="3701"/>
      <c r="I3" s="3701"/>
      <c r="J3" s="3701"/>
    </row>
    <row r="4" spans="1:12" ht="14.25" customHeight="1">
      <c r="A4" s="3702" t="str">
        <f>'1. Анкетна карта'!A3:J3</f>
        <v>на "Водоснабдяване и канализация" ЕООД , гр. Благоевград</v>
      </c>
      <c r="B4" s="3702"/>
      <c r="C4" s="3702"/>
      <c r="D4" s="3702"/>
      <c r="E4" s="3702"/>
      <c r="F4" s="3702"/>
      <c r="G4" s="3702"/>
      <c r="H4" s="3702"/>
      <c r="I4" s="3702"/>
      <c r="J4" s="3702"/>
    </row>
    <row r="5" spans="1:12" ht="19.5" customHeight="1">
      <c r="A5" s="3702" t="str">
        <f>'1. Анкетна карта'!A4:J4</f>
        <v>ЕИК по БУЛСТАТ: 811047831</v>
      </c>
      <c r="B5" s="3702"/>
      <c r="C5" s="3702"/>
      <c r="D5" s="3702"/>
      <c r="E5" s="3702"/>
      <c r="F5" s="3702"/>
      <c r="G5" s="3702"/>
      <c r="H5" s="3702"/>
      <c r="I5" s="3702"/>
      <c r="J5" s="3702"/>
    </row>
    <row r="6" spans="1:12" s="97" customFormat="1" ht="15.75" customHeight="1">
      <c r="A6" s="95"/>
      <c r="B6" s="95"/>
      <c r="C6" s="95"/>
      <c r="D6" s="95"/>
      <c r="E6" s="95"/>
      <c r="F6" s="96"/>
      <c r="G6" s="96"/>
      <c r="H6" s="96"/>
    </row>
    <row r="7" spans="1:12" s="97" customFormat="1" ht="15.75" customHeight="1">
      <c r="A7" s="95"/>
      <c r="B7" s="95"/>
      <c r="C7" s="95"/>
      <c r="D7" s="95"/>
      <c r="E7" s="95"/>
      <c r="F7" s="96"/>
      <c r="G7" s="96"/>
      <c r="H7" s="96"/>
    </row>
    <row r="8" spans="1:12" s="97" customFormat="1" ht="15.75" customHeight="1">
      <c r="A8" s="95"/>
      <c r="B8" s="95" t="s">
        <v>1466</v>
      </c>
      <c r="C8" s="1459" t="s">
        <v>1586</v>
      </c>
      <c r="D8" s="95"/>
      <c r="E8" s="95"/>
      <c r="F8" s="96"/>
      <c r="G8" s="96"/>
      <c r="H8" s="96"/>
    </row>
    <row r="9" spans="1:12" s="97" customFormat="1" ht="35.25" customHeight="1">
      <c r="A9" s="95"/>
      <c r="B9" s="1458" t="s">
        <v>1465</v>
      </c>
      <c r="C9" s="1459" t="s">
        <v>1587</v>
      </c>
      <c r="D9" s="95"/>
      <c r="E9" s="95"/>
      <c r="F9" s="96"/>
      <c r="G9" s="96"/>
      <c r="H9" s="96"/>
    </row>
    <row r="10" spans="1:12" s="97" customFormat="1" ht="15.75" customHeight="1">
      <c r="A10" s="95"/>
      <c r="B10" s="95"/>
      <c r="C10" s="95"/>
      <c r="D10" s="95"/>
      <c r="E10" s="95"/>
      <c r="F10" s="96"/>
      <c r="G10" s="96"/>
      <c r="H10" s="96"/>
    </row>
    <row r="11" spans="1:12" s="97" customFormat="1" ht="15.75" customHeight="1" thickBot="1">
      <c r="A11" s="95"/>
      <c r="B11" s="95"/>
      <c r="C11" s="95"/>
      <c r="D11" s="95"/>
      <c r="E11" s="95"/>
      <c r="F11" s="96"/>
      <c r="G11" s="96"/>
      <c r="H11" s="96"/>
    </row>
    <row r="12" spans="1:12" s="97" customFormat="1" ht="26.25" customHeight="1" thickBot="1">
      <c r="A12" s="2098" t="s">
        <v>1</v>
      </c>
      <c r="B12" s="2099" t="s">
        <v>95</v>
      </c>
      <c r="C12" s="2100" t="s">
        <v>222</v>
      </c>
      <c r="D12" s="2101" t="str">
        <f>'Приложение '!$G12</f>
        <v>2015 г.</v>
      </c>
      <c r="E12" s="2101" t="str">
        <f>'Приложение '!$G13</f>
        <v>2016 г.</v>
      </c>
      <c r="F12" s="2101" t="str">
        <f>'Приложение '!$G14</f>
        <v>2017 г.</v>
      </c>
      <c r="G12" s="2101" t="str">
        <f>'Приложение '!$G15</f>
        <v>2018 г.</v>
      </c>
      <c r="H12" s="2101" t="str">
        <f>'Приложение '!$G16</f>
        <v>2019 г.</v>
      </c>
      <c r="I12" s="2101" t="str">
        <f>'Приложение '!$G17</f>
        <v>2020 г.</v>
      </c>
      <c r="J12" s="2102" t="str">
        <f>'Приложение '!$G18</f>
        <v>2021 г.</v>
      </c>
    </row>
    <row r="13" spans="1:12" s="97" customFormat="1" ht="15" customHeight="1">
      <c r="A13" s="2095">
        <v>1</v>
      </c>
      <c r="B13" s="2096" t="s">
        <v>1464</v>
      </c>
      <c r="C13" s="2097" t="s">
        <v>391</v>
      </c>
      <c r="D13" s="2438">
        <f>IF(AND($C$8="ДА",$C$9="ДА"),D15,D14)</f>
        <v>14022</v>
      </c>
      <c r="E13" s="2438">
        <f t="shared" ref="E13:J13" si="0">IF(AND($C$8="ДА",$C$9="ДА"),E15,E14)</f>
        <v>13747</v>
      </c>
      <c r="F13" s="2438">
        <f t="shared" si="0"/>
        <v>4237</v>
      </c>
      <c r="G13" s="2438">
        <f t="shared" si="0"/>
        <v>4237</v>
      </c>
      <c r="H13" s="2438">
        <f t="shared" si="0"/>
        <v>4237</v>
      </c>
      <c r="I13" s="2438">
        <f t="shared" si="0"/>
        <v>4237</v>
      </c>
      <c r="J13" s="2439">
        <f t="shared" si="0"/>
        <v>4237</v>
      </c>
      <c r="K13" s="1460"/>
      <c r="L13" s="1460"/>
    </row>
    <row r="14" spans="1:12" s="97" customFormat="1" ht="15" customHeight="1">
      <c r="A14" s="1169">
        <v>1.1000000000000001</v>
      </c>
      <c r="B14" s="1111" t="s">
        <v>390</v>
      </c>
      <c r="C14" s="1112"/>
      <c r="D14" s="781">
        <v>14022</v>
      </c>
      <c r="E14" s="781">
        <v>13747</v>
      </c>
      <c r="F14" s="781">
        <v>4237</v>
      </c>
      <c r="G14" s="781">
        <v>4237</v>
      </c>
      <c r="H14" s="781">
        <v>4237</v>
      </c>
      <c r="I14" s="781">
        <v>4237</v>
      </c>
      <c r="J14" s="781">
        <v>4237</v>
      </c>
      <c r="K14" s="1447"/>
      <c r="L14" s="128"/>
    </row>
    <row r="15" spans="1:12" s="97" customFormat="1" ht="15" customHeight="1">
      <c r="A15" s="1169">
        <v>1.2</v>
      </c>
      <c r="B15" s="1111" t="s">
        <v>920</v>
      </c>
      <c r="C15" s="1112"/>
      <c r="D15" s="2909">
        <f>D14</f>
        <v>14022</v>
      </c>
      <c r="E15" s="2909">
        <f>E14</f>
        <v>13747</v>
      </c>
      <c r="F15" s="2909">
        <f>'17. РБА'!E11+'17. РБА'!L11+'17. РБА'!S11+'9.Инвестиционна програма'!O69+'9.Инвестиционна програма'!O70</f>
        <v>13749</v>
      </c>
      <c r="G15" s="2909">
        <f>'17. РБА'!F11+'17. РБА'!M11+'17. РБА'!T11+'9.Инвестиционна програма'!P69+'9.Инвестиционна програма'!P70</f>
        <v>16598</v>
      </c>
      <c r="H15" s="2909">
        <f>'17. РБА'!G11+'17. РБА'!N11+'17. РБА'!U11+'9.Инвестиционна програма'!Q69+'9.Инвестиционна програма'!Q70</f>
        <v>19683</v>
      </c>
      <c r="I15" s="2909">
        <f>'17. РБА'!H11+'17. РБА'!O11+'17. РБА'!V11+'9.Инвестиционна програма'!R69+'9.Инвестиционна програма'!R70</f>
        <v>23851</v>
      </c>
      <c r="J15" s="3000">
        <f>'17. РБА'!I11+'17. РБА'!P11+'17. РБА'!W11+'9.Инвестиционна програма'!S69+'9.Инвестиционна програма'!S70</f>
        <v>27365</v>
      </c>
      <c r="K15" s="1447"/>
      <c r="L15" s="128"/>
    </row>
    <row r="16" spans="1:12" s="97" customFormat="1" ht="15" customHeight="1">
      <c r="A16" s="1169">
        <v>2</v>
      </c>
      <c r="B16" s="1111" t="s">
        <v>392</v>
      </c>
      <c r="C16" s="1112" t="s">
        <v>391</v>
      </c>
      <c r="D16" s="1113">
        <f t="shared" ref="D16:J16" si="1">D17+D19+D21</f>
        <v>0</v>
      </c>
      <c r="E16" s="1113">
        <f t="shared" si="1"/>
        <v>0</v>
      </c>
      <c r="F16" s="1113">
        <f t="shared" si="1"/>
        <v>0</v>
      </c>
      <c r="G16" s="1113">
        <f t="shared" si="1"/>
        <v>0</v>
      </c>
      <c r="H16" s="1113">
        <f t="shared" si="1"/>
        <v>0</v>
      </c>
      <c r="I16" s="1113">
        <f t="shared" si="1"/>
        <v>0</v>
      </c>
      <c r="J16" s="1114">
        <f t="shared" si="1"/>
        <v>0</v>
      </c>
    </row>
    <row r="17" spans="1:13" s="97" customFormat="1" ht="15" customHeight="1">
      <c r="A17" s="1170" t="s">
        <v>105</v>
      </c>
      <c r="B17" s="1115" t="s">
        <v>410</v>
      </c>
      <c r="C17" s="1116" t="s">
        <v>391</v>
      </c>
      <c r="D17" s="3001">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001">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001">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001">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001">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001">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002">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7" customFormat="1" ht="15" customHeight="1">
      <c r="A18" s="1170" t="s">
        <v>107</v>
      </c>
      <c r="B18" s="1117" t="s">
        <v>393</v>
      </c>
      <c r="C18" s="1116" t="s">
        <v>226</v>
      </c>
      <c r="D18" s="2948"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2948"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2948"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2948"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2948"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2948"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2949"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7" customFormat="1" ht="15" customHeight="1">
      <c r="A19" s="1170" t="s">
        <v>225</v>
      </c>
      <c r="B19" s="1117" t="s">
        <v>394</v>
      </c>
      <c r="C19" s="2103" t="s">
        <v>391</v>
      </c>
      <c r="D19" s="781"/>
      <c r="E19" s="781"/>
      <c r="F19" s="781"/>
      <c r="G19" s="781"/>
      <c r="H19" s="781"/>
      <c r="I19" s="781"/>
      <c r="J19" s="781"/>
    </row>
    <row r="20" spans="1:13" s="97" customFormat="1" ht="15" customHeight="1">
      <c r="A20" s="1170" t="s">
        <v>306</v>
      </c>
      <c r="B20" s="1117" t="s">
        <v>395</v>
      </c>
      <c r="C20" s="1116" t="s">
        <v>226</v>
      </c>
      <c r="D20" s="2939"/>
      <c r="E20" s="2939"/>
      <c r="F20" s="2939"/>
      <c r="G20" s="2939"/>
      <c r="H20" s="2939"/>
      <c r="I20" s="2939"/>
      <c r="J20" s="2939"/>
    </row>
    <row r="21" spans="1:13" s="97" customFormat="1" ht="15" customHeight="1">
      <c r="A21" s="1170" t="s">
        <v>308</v>
      </c>
      <c r="B21" s="1117" t="s">
        <v>396</v>
      </c>
      <c r="C21" s="1116" t="s">
        <v>391</v>
      </c>
      <c r="D21" s="781"/>
      <c r="E21" s="781"/>
      <c r="F21" s="781"/>
      <c r="G21" s="781"/>
      <c r="H21" s="781"/>
      <c r="I21" s="781"/>
      <c r="J21" s="781"/>
    </row>
    <row r="22" spans="1:13" s="97" customFormat="1" ht="15" customHeight="1">
      <c r="A22" s="1170" t="s">
        <v>310</v>
      </c>
      <c r="B22" s="1117" t="s">
        <v>397</v>
      </c>
      <c r="C22" s="1118" t="s">
        <v>226</v>
      </c>
      <c r="D22" s="2939"/>
      <c r="E22" s="2939"/>
      <c r="F22" s="2939"/>
      <c r="G22" s="2939"/>
      <c r="H22" s="2939"/>
      <c r="I22" s="2939"/>
      <c r="J22" s="2939"/>
      <c r="M22" s="97" t="s">
        <v>263</v>
      </c>
    </row>
    <row r="23" spans="1:13" s="97" customFormat="1" ht="15" customHeight="1">
      <c r="A23" s="1169">
        <v>3</v>
      </c>
      <c r="B23" s="1111" t="s">
        <v>398</v>
      </c>
      <c r="C23" s="1112" t="s">
        <v>226</v>
      </c>
      <c r="D23" s="1119">
        <v>0.1</v>
      </c>
      <c r="E23" s="1119">
        <v>0.1</v>
      </c>
      <c r="F23" s="1119">
        <v>0.1</v>
      </c>
      <c r="G23" s="1119">
        <v>0.1</v>
      </c>
      <c r="H23" s="1119">
        <v>0.1</v>
      </c>
      <c r="I23" s="1119">
        <v>0.1</v>
      </c>
      <c r="J23" s="1120">
        <v>0.1</v>
      </c>
    </row>
    <row r="24" spans="1:13" s="97" customFormat="1" ht="15" customHeight="1">
      <c r="A24" s="1169">
        <v>4</v>
      </c>
      <c r="B24" s="1111" t="s">
        <v>1229</v>
      </c>
      <c r="C24" s="1112" t="s">
        <v>226</v>
      </c>
      <c r="D24" s="2939">
        <v>7.9899999999999999E-2</v>
      </c>
      <c r="E24" s="2939">
        <v>7.9899999999999999E-2</v>
      </c>
      <c r="F24" s="2939">
        <v>7.9899999999999999E-2</v>
      </c>
      <c r="G24" s="2939">
        <v>7.9899999999999999E-2</v>
      </c>
      <c r="H24" s="2939">
        <v>7.9899999999999999E-2</v>
      </c>
      <c r="I24" s="2939">
        <v>7.9899999999999999E-2</v>
      </c>
      <c r="J24" s="2939">
        <v>7.9899999999999999E-2</v>
      </c>
    </row>
    <row r="25" spans="1:13" s="97" customFormat="1" ht="15" customHeight="1">
      <c r="A25" s="1169" t="s">
        <v>770</v>
      </c>
      <c r="B25" s="1111" t="s">
        <v>399</v>
      </c>
      <c r="C25" s="1112" t="s">
        <v>226</v>
      </c>
      <c r="D25" s="1119">
        <f t="shared" ref="D25:J25" si="2">IF(D16=0,0,(D17*D18+D19*D20+D21*D22)/D16)</f>
        <v>0</v>
      </c>
      <c r="E25" s="1119">
        <f t="shared" si="2"/>
        <v>0</v>
      </c>
      <c r="F25" s="1119">
        <f t="shared" si="2"/>
        <v>0</v>
      </c>
      <c r="G25" s="1119">
        <f t="shared" si="2"/>
        <v>0</v>
      </c>
      <c r="H25" s="1119">
        <f t="shared" si="2"/>
        <v>0</v>
      </c>
      <c r="I25" s="1119">
        <f t="shared" si="2"/>
        <v>0</v>
      </c>
      <c r="J25" s="1120">
        <f t="shared" si="2"/>
        <v>0</v>
      </c>
    </row>
    <row r="26" spans="1:13" s="97" customFormat="1" ht="15" customHeight="1">
      <c r="A26" s="1169" t="s">
        <v>771</v>
      </c>
      <c r="B26" s="1111" t="s">
        <v>1228</v>
      </c>
      <c r="C26" s="1112" t="s">
        <v>226</v>
      </c>
      <c r="D26" s="2939"/>
      <c r="E26" s="2939"/>
      <c r="F26" s="2939"/>
      <c r="G26" s="2939"/>
      <c r="H26" s="2939"/>
      <c r="I26" s="2939"/>
      <c r="J26" s="2939"/>
    </row>
    <row r="27" spans="1:13" s="97" customFormat="1" ht="15" customHeight="1">
      <c r="A27" s="1169">
        <v>6</v>
      </c>
      <c r="B27" s="1111" t="s">
        <v>400</v>
      </c>
      <c r="C27" s="1112" t="s">
        <v>226</v>
      </c>
      <c r="D27" s="1119">
        <f t="shared" ref="D27:J27" si="3">IF(D13+D16=0,0,(D13)/(D13+D16))</f>
        <v>1</v>
      </c>
      <c r="E27" s="1119">
        <f t="shared" si="3"/>
        <v>1</v>
      </c>
      <c r="F27" s="1119">
        <f t="shared" si="3"/>
        <v>1</v>
      </c>
      <c r="G27" s="1119">
        <f t="shared" si="3"/>
        <v>1</v>
      </c>
      <c r="H27" s="1119">
        <f t="shared" si="3"/>
        <v>1</v>
      </c>
      <c r="I27" s="1119">
        <f t="shared" si="3"/>
        <v>1</v>
      </c>
      <c r="J27" s="1120">
        <f t="shared" si="3"/>
        <v>1</v>
      </c>
    </row>
    <row r="28" spans="1:13" s="97" customFormat="1" ht="15" customHeight="1">
      <c r="A28" s="1169">
        <v>7</v>
      </c>
      <c r="B28" s="1111" t="s">
        <v>401</v>
      </c>
      <c r="C28" s="1112" t="s">
        <v>226</v>
      </c>
      <c r="D28" s="1119">
        <f t="shared" ref="D28:J28" si="4">IF(D16+D13=0,0,(D16)/(D16+D13))</f>
        <v>0</v>
      </c>
      <c r="E28" s="1119">
        <f t="shared" si="4"/>
        <v>0</v>
      </c>
      <c r="F28" s="1119">
        <f t="shared" si="4"/>
        <v>0</v>
      </c>
      <c r="G28" s="1119">
        <f t="shared" si="4"/>
        <v>0</v>
      </c>
      <c r="H28" s="1119">
        <f t="shared" si="4"/>
        <v>0</v>
      </c>
      <c r="I28" s="1119">
        <f t="shared" si="4"/>
        <v>0</v>
      </c>
      <c r="J28" s="1120">
        <f t="shared" si="4"/>
        <v>0</v>
      </c>
    </row>
    <row r="29" spans="1:13" s="97" customFormat="1" ht="16.5" customHeight="1">
      <c r="A29" s="1171">
        <v>8</v>
      </c>
      <c r="B29" s="1121" t="s">
        <v>947</v>
      </c>
      <c r="C29" s="1122" t="s">
        <v>226</v>
      </c>
      <c r="D29" s="1123">
        <f>MIN(D25,D26)*D28+D24*D27*(D23/(1-D23)+1)</f>
        <v>8.8777777777777775E-2</v>
      </c>
      <c r="E29" s="1123">
        <f t="shared" ref="E29:J29" si="5">MIN(E25,E26)*E28+E24*E27*(E23/(1-E23)+1)</f>
        <v>8.8777777777777775E-2</v>
      </c>
      <c r="F29" s="1123">
        <f t="shared" si="5"/>
        <v>8.8777777777777775E-2</v>
      </c>
      <c r="G29" s="1123">
        <f t="shared" si="5"/>
        <v>8.8777777777777775E-2</v>
      </c>
      <c r="H29" s="1123">
        <f t="shared" si="5"/>
        <v>8.8777777777777775E-2</v>
      </c>
      <c r="I29" s="1123">
        <f t="shared" si="5"/>
        <v>8.8777777777777775E-2</v>
      </c>
      <c r="J29" s="1448">
        <f t="shared" si="5"/>
        <v>8.8777777777777775E-2</v>
      </c>
    </row>
    <row r="30" spans="1:13" s="97" customFormat="1" ht="15" customHeight="1">
      <c r="A30" s="1170" t="s">
        <v>243</v>
      </c>
      <c r="B30" s="1124" t="s">
        <v>402</v>
      </c>
      <c r="C30" s="1116" t="s">
        <v>391</v>
      </c>
      <c r="D30" s="2441"/>
      <c r="E30" s="2441"/>
      <c r="F30" s="1125">
        <f>'17. РБА'!E21*'19. HB'!F29</f>
        <v>709.06702603114013</v>
      </c>
      <c r="G30" s="1125">
        <f>'17. РБА'!F21*'19. HB'!G29</f>
        <v>878.6014105022665</v>
      </c>
      <c r="H30" s="1125">
        <f>'17. РБА'!G21*'19. HB'!H29</f>
        <v>1038.2086236023756</v>
      </c>
      <c r="I30" s="1125">
        <f>'17. РБА'!H21*'19. HB'!I29</f>
        <v>1269.7445840143819</v>
      </c>
      <c r="J30" s="1126">
        <f>'17. РБА'!I21*'19. HB'!J29</f>
        <v>1417.9732933016858</v>
      </c>
    </row>
    <row r="31" spans="1:13" ht="15" customHeight="1">
      <c r="A31" s="1170" t="s">
        <v>403</v>
      </c>
      <c r="B31" s="1124" t="s">
        <v>404</v>
      </c>
      <c r="C31" s="1116" t="s">
        <v>391</v>
      </c>
      <c r="D31" s="2441"/>
      <c r="E31" s="2441"/>
      <c r="F31" s="1125">
        <f>'17. РБА'!L21*'19. HB'!F29</f>
        <v>138.63774452078749</v>
      </c>
      <c r="G31" s="1125">
        <f>'17. РБА'!M21*'19. HB'!G29</f>
        <v>148.1483596015598</v>
      </c>
      <c r="H31" s="1125">
        <f>'17. РБА'!N21*'19. HB'!H29</f>
        <v>198.14633455158756</v>
      </c>
      <c r="I31" s="1125">
        <f>'17. РБА'!O21*'19. HB'!I29</f>
        <v>302.7524099096342</v>
      </c>
      <c r="J31" s="1126">
        <f>'17. РБА'!P21*'19. HB'!J29</f>
        <v>379.12167096198687</v>
      </c>
    </row>
    <row r="32" spans="1:13" ht="15" customHeight="1">
      <c r="A32" s="1170" t="s">
        <v>405</v>
      </c>
      <c r="B32" s="1124" t="s">
        <v>406</v>
      </c>
      <c r="C32" s="1116" t="s">
        <v>391</v>
      </c>
      <c r="D32" s="2441"/>
      <c r="E32" s="2441"/>
      <c r="F32" s="1125">
        <f>'17. РБА'!S21*'19. HB'!F29</f>
        <v>48.674681736656943</v>
      </c>
      <c r="G32" s="1125">
        <f>'17. РБА'!T21*'19. HB'!G29</f>
        <v>76.972115351272336</v>
      </c>
      <c r="H32" s="1125">
        <f>'17. РБА'!U21*'19. HB'!H29</f>
        <v>95.414808943144791</v>
      </c>
      <c r="I32" s="1125">
        <f>'17. РБА'!V21*'19. HB'!I29</f>
        <v>100.11243669698834</v>
      </c>
      <c r="J32" s="1126">
        <f>'17. РБА'!W21*'19. HB'!J29</f>
        <v>102.48413118625101</v>
      </c>
    </row>
    <row r="33" spans="1:11" ht="15" customHeight="1" thickBot="1">
      <c r="A33" s="1172">
        <v>9</v>
      </c>
      <c r="B33" s="1127" t="s">
        <v>407</v>
      </c>
      <c r="C33" s="1128" t="s">
        <v>391</v>
      </c>
      <c r="D33" s="2442"/>
      <c r="E33" s="2442"/>
      <c r="F33" s="1129">
        <f>F30+F31+F32</f>
        <v>896.3794522885845</v>
      </c>
      <c r="G33" s="1129">
        <f>G30+G31+G32</f>
        <v>1103.7218854550986</v>
      </c>
      <c r="H33" s="1129">
        <f>H30+H31+H32</f>
        <v>1331.7697670971081</v>
      </c>
      <c r="I33" s="1129">
        <f>I30+I31+I32</f>
        <v>1672.6094306210045</v>
      </c>
      <c r="J33" s="1130">
        <f>J30+J31+J32</f>
        <v>1899.5790954499237</v>
      </c>
    </row>
    <row r="34" spans="1:11" ht="12.75">
      <c r="B34" s="98"/>
      <c r="C34" s="99"/>
      <c r="D34" s="99"/>
      <c r="E34" s="99"/>
    </row>
    <row r="35" spans="1:11" customFormat="1" ht="15">
      <c r="A35" s="72"/>
      <c r="B35" s="395" t="str">
        <f>'18. OK'!B24</f>
        <v>Дата: 27.08.2018 г.</v>
      </c>
      <c r="C35" s="74"/>
      <c r="D35" s="74"/>
      <c r="E35" s="74"/>
      <c r="F35" s="91"/>
      <c r="G35" s="91"/>
      <c r="H35" s="91"/>
      <c r="I35" s="91"/>
      <c r="J35" s="91"/>
      <c r="K35" s="91"/>
    </row>
    <row r="36" spans="1:11" customFormat="1" ht="12.75">
      <c r="F36" s="572" t="str">
        <f>'14. ОПР'!D49</f>
        <v>Главен счетоводител:</v>
      </c>
      <c r="G36" s="288"/>
      <c r="H36" s="218" t="s">
        <v>262</v>
      </c>
      <c r="I36" s="198"/>
      <c r="J36" s="198"/>
    </row>
    <row r="37" spans="1:11" customFormat="1" ht="12.75">
      <c r="A37" s="3655" t="s">
        <v>247</v>
      </c>
      <c r="B37" s="3655"/>
      <c r="C37" s="3655"/>
      <c r="F37" s="287"/>
      <c r="G37" s="219"/>
      <c r="H37" s="289"/>
      <c r="I37" s="290" t="s">
        <v>5</v>
      </c>
      <c r="J37" s="198"/>
    </row>
    <row r="38" spans="1:11" customFormat="1" ht="12.75">
      <c r="A38" s="3499" t="s">
        <v>248</v>
      </c>
      <c r="B38" s="3499"/>
      <c r="C38" s="3499"/>
      <c r="F38" s="287"/>
      <c r="G38" s="219"/>
      <c r="H38" s="289"/>
      <c r="I38" s="290"/>
      <c r="J38" s="198"/>
    </row>
    <row r="39" spans="1:11" customFormat="1" ht="12.75">
      <c r="A39" s="3499" t="s">
        <v>1467</v>
      </c>
      <c r="B39" s="3499"/>
      <c r="C39" s="3499"/>
      <c r="F39" s="287"/>
      <c r="G39" s="219"/>
      <c r="H39" s="289"/>
      <c r="I39" s="290"/>
      <c r="J39" s="198"/>
    </row>
    <row r="40" spans="1:11" customFormat="1" ht="13.5">
      <c r="A40" s="3699" t="s">
        <v>1515</v>
      </c>
      <c r="B40" s="3699"/>
      <c r="C40" s="3699"/>
      <c r="D40" s="664"/>
      <c r="E40" s="664"/>
      <c r="F40" s="291" t="str">
        <f>'14. ОПР'!E54</f>
        <v>Управител:</v>
      </c>
      <c r="H40" s="218" t="s">
        <v>262</v>
      </c>
      <c r="I40" s="216"/>
      <c r="J40" s="198"/>
    </row>
    <row r="41" spans="1:11" customFormat="1" ht="12.75">
      <c r="A41" s="3699" t="s">
        <v>1507</v>
      </c>
      <c r="B41" s="3699"/>
      <c r="C41" s="3699"/>
      <c r="D41" s="3699"/>
      <c r="E41" s="665"/>
      <c r="F41" s="287"/>
      <c r="G41" s="292"/>
      <c r="H41" s="289"/>
      <c r="I41" s="290" t="s">
        <v>6</v>
      </c>
      <c r="J41" s="198"/>
    </row>
    <row r="42" spans="1:11">
      <c r="B42" s="2440" t="s">
        <v>1516</v>
      </c>
    </row>
    <row r="43" spans="1:11">
      <c r="B43" s="2440" t="s">
        <v>1514</v>
      </c>
    </row>
    <row r="44" spans="1:11">
      <c r="B44" s="2440" t="s">
        <v>1517</v>
      </c>
    </row>
    <row r="45" spans="1:11">
      <c r="B45" s="2440" t="s">
        <v>1518</v>
      </c>
    </row>
    <row r="46" spans="1:11">
      <c r="B46" s="2440" t="s">
        <v>1519</v>
      </c>
    </row>
    <row r="47" spans="1:11" ht="39.75" customHeight="1">
      <c r="A47" s="3699" t="s">
        <v>1508</v>
      </c>
      <c r="B47" s="3699"/>
      <c r="C47" s="3699"/>
      <c r="D47" s="3699"/>
    </row>
    <row r="48" spans="1:11">
      <c r="B48" s="2440" t="s">
        <v>1520</v>
      </c>
    </row>
    <row r="49" spans="2:2">
      <c r="B49" s="2440" t="s">
        <v>1521</v>
      </c>
    </row>
    <row r="50" spans="2:2">
      <c r="B50" s="2440" t="s">
        <v>1522</v>
      </c>
    </row>
    <row r="51" spans="2:2">
      <c r="B51" s="2440"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U29"/>
  <sheetViews>
    <sheetView showGridLines="0" tabSelected="1" view="pageBreakPreview" zoomScaleNormal="100" zoomScaleSheetLayoutView="100" workbookViewId="0">
      <selection activeCell="I18" sqref="I18"/>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7"/>
      <c r="R1" s="51" t="str">
        <f>'19. HB'!J1</f>
        <v>Приложение № 6</v>
      </c>
    </row>
    <row r="2" spans="1:21" s="1" customFormat="1" ht="18.75">
      <c r="A2" s="3703" t="s">
        <v>883</v>
      </c>
      <c r="B2" s="3703"/>
      <c r="C2" s="3703"/>
      <c r="D2" s="3703"/>
      <c r="E2" s="3703"/>
      <c r="F2" s="3703"/>
      <c r="G2" s="3703"/>
      <c r="H2" s="3703"/>
      <c r="I2" s="3703"/>
      <c r="J2" s="3703"/>
      <c r="K2" s="3703"/>
      <c r="L2" s="3703"/>
      <c r="M2" s="3703"/>
      <c r="N2" s="3703"/>
      <c r="O2" s="3703"/>
      <c r="P2" s="3703"/>
      <c r="Q2" s="3703"/>
      <c r="R2" s="3703"/>
      <c r="S2" s="108"/>
      <c r="T2" s="100"/>
    </row>
    <row r="3" spans="1:21" s="1" customFormat="1" ht="18.75">
      <c r="A3" s="3704" t="s">
        <v>1423</v>
      </c>
      <c r="B3" s="3704"/>
      <c r="C3" s="3704"/>
      <c r="D3" s="3704"/>
      <c r="E3" s="3704"/>
      <c r="F3" s="3704"/>
      <c r="G3" s="3704"/>
      <c r="H3" s="3704"/>
      <c r="I3" s="3704"/>
      <c r="J3" s="3704"/>
      <c r="K3" s="3704"/>
      <c r="L3" s="3704"/>
      <c r="M3" s="3704"/>
      <c r="N3" s="3704"/>
      <c r="O3" s="3704"/>
      <c r="P3" s="3704"/>
      <c r="Q3" s="3704"/>
      <c r="R3" s="3704"/>
      <c r="S3" s="100"/>
      <c r="T3" s="100"/>
    </row>
    <row r="4" spans="1:21" s="1" customFormat="1" ht="15" customHeight="1">
      <c r="A4" s="3705" t="str">
        <f>'1. Анкетна карта'!A3:J3</f>
        <v>на "Водоснабдяване и канализация" ЕООД , гр. Благоевград</v>
      </c>
      <c r="B4" s="3705"/>
      <c r="C4" s="3705"/>
      <c r="D4" s="3705"/>
      <c r="E4" s="3705"/>
      <c r="F4" s="3705"/>
      <c r="G4" s="3705"/>
      <c r="H4" s="3705"/>
      <c r="I4" s="3705"/>
      <c r="J4" s="3705"/>
      <c r="K4" s="3705"/>
      <c r="L4" s="3705"/>
      <c r="M4" s="3705"/>
      <c r="N4" s="3705"/>
      <c r="O4" s="3705"/>
      <c r="P4" s="3705"/>
      <c r="Q4" s="3705"/>
      <c r="R4" s="3705"/>
      <c r="S4" s="100"/>
      <c r="T4" s="100"/>
    </row>
    <row r="5" spans="1:21" s="1" customFormat="1" ht="15" customHeight="1">
      <c r="A5" s="3705" t="str">
        <f>'1. Анкетна карта'!A4:J4</f>
        <v>ЕИК по БУЛСТАТ: 811047831</v>
      </c>
      <c r="B5" s="3705"/>
      <c r="C5" s="3705"/>
      <c r="D5" s="3705"/>
      <c r="E5" s="3705"/>
      <c r="F5" s="3705"/>
      <c r="G5" s="3705"/>
      <c r="H5" s="3705"/>
      <c r="I5" s="3705"/>
      <c r="J5" s="3705"/>
      <c r="K5" s="3705"/>
      <c r="L5" s="3705"/>
      <c r="M5" s="3705"/>
      <c r="N5" s="3705"/>
      <c r="O5" s="3705"/>
      <c r="P5" s="3705"/>
      <c r="Q5" s="3705"/>
      <c r="R5" s="3705"/>
      <c r="S5" s="100"/>
      <c r="T5" s="100"/>
    </row>
    <row r="6" spans="1:21" s="1" customFormat="1" ht="15" customHeight="1" thickBot="1">
      <c r="A6" s="131"/>
      <c r="B6" s="131"/>
      <c r="C6" s="131"/>
      <c r="D6" s="131"/>
      <c r="E6" s="131"/>
      <c r="F6" s="131"/>
      <c r="G6" s="131"/>
      <c r="H6" s="131"/>
      <c r="I6" s="131"/>
      <c r="J6" s="131"/>
      <c r="K6" s="131"/>
      <c r="L6" s="131"/>
      <c r="M6" s="131"/>
      <c r="N6" s="131"/>
      <c r="O6" s="131"/>
      <c r="P6" s="131"/>
      <c r="Q6" s="131"/>
      <c r="R6" s="131"/>
      <c r="S6" s="100"/>
      <c r="T6" s="100"/>
    </row>
    <row r="7" spans="1:21" s="1" customFormat="1" ht="15" customHeight="1">
      <c r="A7" s="3709" t="s">
        <v>1</v>
      </c>
      <c r="B7" s="3709" t="s">
        <v>343</v>
      </c>
      <c r="C7" s="3709" t="s">
        <v>222</v>
      </c>
      <c r="D7" s="3706" t="s">
        <v>270</v>
      </c>
      <c r="E7" s="3707"/>
      <c r="F7" s="3707"/>
      <c r="G7" s="3707"/>
      <c r="H7" s="3708"/>
      <c r="I7" s="3706" t="s">
        <v>230</v>
      </c>
      <c r="J7" s="3707"/>
      <c r="K7" s="3707"/>
      <c r="L7" s="3707"/>
      <c r="M7" s="3708"/>
      <c r="N7" s="3706" t="s">
        <v>241</v>
      </c>
      <c r="O7" s="3707"/>
      <c r="P7" s="3707"/>
      <c r="Q7" s="3707"/>
      <c r="R7" s="3708"/>
      <c r="S7" s="100"/>
      <c r="T7" s="100"/>
    </row>
    <row r="8" spans="1:21" s="53" customFormat="1" ht="15.75" thickBot="1">
      <c r="A8" s="3710"/>
      <c r="B8" s="3710"/>
      <c r="C8" s="3710"/>
      <c r="D8" s="2104" t="str">
        <f>'Приложение '!$G14</f>
        <v>2017 г.</v>
      </c>
      <c r="E8" s="2093" t="str">
        <f>'Приложение '!$G15</f>
        <v>2018 г.</v>
      </c>
      <c r="F8" s="2093" t="str">
        <f>'Приложение '!$G16</f>
        <v>2019 г.</v>
      </c>
      <c r="G8" s="2093" t="str">
        <f>'Приложение '!$G17</f>
        <v>2020 г.</v>
      </c>
      <c r="H8" s="2094" t="str">
        <f>'Приложение '!$G18</f>
        <v>2021 г.</v>
      </c>
      <c r="I8" s="2104" t="str">
        <f>'Приложение '!$G14</f>
        <v>2017 г.</v>
      </c>
      <c r="J8" s="2093" t="str">
        <f>'Приложение '!$G15</f>
        <v>2018 г.</v>
      </c>
      <c r="K8" s="2093" t="str">
        <f>'Приложение '!$G16</f>
        <v>2019 г.</v>
      </c>
      <c r="L8" s="2093" t="str">
        <f>'Приложение '!$G17</f>
        <v>2020 г.</v>
      </c>
      <c r="M8" s="2094" t="str">
        <f>'Приложение '!$G18</f>
        <v>2021 г.</v>
      </c>
      <c r="N8" s="2104" t="str">
        <f>'Приложение '!$G14</f>
        <v>2017 г.</v>
      </c>
      <c r="O8" s="2093" t="str">
        <f>'Приложение '!$G15</f>
        <v>2018 г.</v>
      </c>
      <c r="P8" s="2093" t="str">
        <f>'Приложение '!$G16</f>
        <v>2019 г.</v>
      </c>
      <c r="Q8" s="2093" t="str">
        <f>'Приложение '!$G17</f>
        <v>2020 г.</v>
      </c>
      <c r="R8" s="2094" t="str">
        <f>'Приложение '!$G18</f>
        <v>2021 г.</v>
      </c>
      <c r="S8" s="102"/>
      <c r="T8" s="103"/>
      <c r="U8" s="101"/>
    </row>
    <row r="9" spans="1:21" s="53" customFormat="1" ht="29.25" customHeight="1" thickBot="1">
      <c r="A9" s="1144">
        <v>1</v>
      </c>
      <c r="B9" s="1145" t="s">
        <v>820</v>
      </c>
      <c r="C9" s="1526" t="s">
        <v>408</v>
      </c>
      <c r="D9" s="1143">
        <f>'16. Необходими приходи'!F11/'16. Необходими приходи'!F12</f>
        <v>1.1632843851255708</v>
      </c>
      <c r="E9" s="2105">
        <f>'16. Необходими приходи'!G11/'16. Необходими приходи'!G12</f>
        <v>1.2378854768228518</v>
      </c>
      <c r="F9" s="2105">
        <f>'16. Необходими приходи'!H11/'16. Необходими приходи'!H12</f>
        <v>1.2641143191584783</v>
      </c>
      <c r="G9" s="2105">
        <f>'16. Необходими приходи'!I11/'16. Необходими приходи'!I12</f>
        <v>1.2648470112894785</v>
      </c>
      <c r="H9" s="2106">
        <f>'16. Необходими приходи'!J11/'16. Необходими приходи'!J12</f>
        <v>1.2765048173363416</v>
      </c>
      <c r="I9" s="1143">
        <f>'16. Необходими приходи'!M11/'16. Необходими приходи'!M13</f>
        <v>0.12649510002231554</v>
      </c>
      <c r="J9" s="2105">
        <f>'16. Необходими приходи'!N11/'16. Необходими приходи'!N13</f>
        <v>0.15170013237673452</v>
      </c>
      <c r="K9" s="2105">
        <f>'16. Необходими приходи'!O11/'16. Необходими приходи'!O13</f>
        <v>0.21187053330736899</v>
      </c>
      <c r="L9" s="2105">
        <f>'16. Необходими приходи'!P11/'16. Необходими приходи'!P13</f>
        <v>0.2252373218048066</v>
      </c>
      <c r="M9" s="2106">
        <f>'16. Необходими приходи'!Q11/'16. Необходими приходи'!Q13</f>
        <v>0.23311326252780276</v>
      </c>
      <c r="N9" s="1143">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0.32865941446757091</v>
      </c>
      <c r="O9" s="2105">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0.3598525027689109</v>
      </c>
      <c r="P9" s="2105">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0.39978927146806814</v>
      </c>
      <c r="Q9" s="2105">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0.41014719915372833</v>
      </c>
      <c r="R9" s="2106">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0.41801234053559261</v>
      </c>
      <c r="S9" s="104"/>
      <c r="T9" s="101"/>
      <c r="U9" s="101"/>
    </row>
    <row r="10" spans="1:21" ht="15" customHeight="1" thickBot="1">
      <c r="A10" s="1146">
        <v>2</v>
      </c>
      <c r="B10" s="1147" t="s">
        <v>236</v>
      </c>
      <c r="C10" s="130"/>
      <c r="D10" s="2107"/>
      <c r="E10" s="2108"/>
      <c r="F10" s="2108"/>
      <c r="G10" s="2108"/>
      <c r="H10" s="2109"/>
      <c r="I10" s="2107"/>
      <c r="J10" s="2108"/>
      <c r="K10" s="2108"/>
      <c r="L10" s="2108"/>
      <c r="M10" s="2109"/>
      <c r="N10" s="2107"/>
      <c r="O10" s="2108"/>
      <c r="P10" s="2108"/>
      <c r="Q10" s="2108"/>
      <c r="R10" s="2109"/>
      <c r="S10" s="105"/>
    </row>
    <row r="11" spans="1:21" ht="15" customHeight="1">
      <c r="A11" s="1148" t="s">
        <v>105</v>
      </c>
      <c r="B11" s="2443" t="s">
        <v>237</v>
      </c>
      <c r="C11" s="2446" t="s">
        <v>408</v>
      </c>
      <c r="D11" s="2130"/>
      <c r="E11" s="2130"/>
      <c r="F11" s="2130"/>
      <c r="G11" s="2130"/>
      <c r="H11" s="2131"/>
      <c r="I11" s="2129"/>
      <c r="J11" s="2130"/>
      <c r="K11" s="2130"/>
      <c r="L11" s="2130"/>
      <c r="M11" s="2131"/>
      <c r="N11" s="2110">
        <f>N9*'16. Необходими приходи'!F24</f>
        <v>0.42397064466316647</v>
      </c>
      <c r="O11" s="2111">
        <f>O9*'16. Необходими приходи'!G24</f>
        <v>0.46420972857189507</v>
      </c>
      <c r="P11" s="2111">
        <f>P9*'16. Необходими приходи'!H24</f>
        <v>0.51572816019380796</v>
      </c>
      <c r="Q11" s="2111">
        <f>Q9*'16. Необходими приходи'!I24</f>
        <v>0.5290898869083096</v>
      </c>
      <c r="R11" s="2112">
        <f>R9*'16. Необходими приходи'!J24</f>
        <v>0.53923591929091452</v>
      </c>
      <c r="S11" s="106"/>
    </row>
    <row r="12" spans="1:21" ht="15" customHeight="1">
      <c r="A12" s="1148" t="s">
        <v>107</v>
      </c>
      <c r="B12" s="2444" t="s">
        <v>238</v>
      </c>
      <c r="C12" s="2447" t="s">
        <v>408</v>
      </c>
      <c r="D12" s="2133"/>
      <c r="E12" s="2133"/>
      <c r="F12" s="2133"/>
      <c r="G12" s="2133"/>
      <c r="H12" s="2134"/>
      <c r="I12" s="2132"/>
      <c r="J12" s="2133"/>
      <c r="K12" s="2133"/>
      <c r="L12" s="2133"/>
      <c r="M12" s="2134"/>
      <c r="N12" s="2113">
        <f>N9*'16. Необходими приходи'!F25</f>
        <v>0.54228803387149194</v>
      </c>
      <c r="O12" s="2114">
        <f>O9*'16. Необходими приходи'!G25</f>
        <v>0.5937566295687029</v>
      </c>
      <c r="P12" s="2114">
        <f>P9*'16. Необходими приходи'!H25</f>
        <v>0.65965229792231239</v>
      </c>
      <c r="Q12" s="2114">
        <f>Q9*'16. Необходими приходи'!I25</f>
        <v>0.67674287860365168</v>
      </c>
      <c r="R12" s="2115">
        <f>R9*'16. Необходими приходи'!J25</f>
        <v>0.68972036188372776</v>
      </c>
      <c r="S12" s="106"/>
      <c r="T12" s="71"/>
      <c r="U12" s="71"/>
    </row>
    <row r="13" spans="1:21" ht="15" customHeight="1" thickBot="1">
      <c r="A13" s="1149" t="s">
        <v>225</v>
      </c>
      <c r="B13" s="2445" t="s">
        <v>239</v>
      </c>
      <c r="C13" s="2448" t="s">
        <v>408</v>
      </c>
      <c r="D13" s="2136"/>
      <c r="E13" s="2136"/>
      <c r="F13" s="2136"/>
      <c r="G13" s="2136"/>
      <c r="H13" s="2137"/>
      <c r="I13" s="2135"/>
      <c r="J13" s="2136"/>
      <c r="K13" s="2136"/>
      <c r="L13" s="2136"/>
      <c r="M13" s="2137"/>
      <c r="N13" s="2116">
        <f>N9*'16. Необходими приходи'!F26</f>
        <v>0.73948368255203456</v>
      </c>
      <c r="O13" s="2117">
        <f>O9*'16. Необходими приходи'!G26</f>
        <v>0.80966813123004955</v>
      </c>
      <c r="P13" s="2117">
        <f>P9*'16. Необходими приходи'!H26</f>
        <v>0.89952586080315333</v>
      </c>
      <c r="Q13" s="2117">
        <f>Q9*'16. Необходими приходи'!I26</f>
        <v>0.92283119809588876</v>
      </c>
      <c r="R13" s="2118">
        <f>R9*'16. Необходими приходи'!J26</f>
        <v>0.94052776620508338</v>
      </c>
      <c r="S13" s="107"/>
      <c r="T13" s="71"/>
      <c r="U13" s="71"/>
    </row>
    <row r="14" spans="1:21" ht="12" customHeight="1">
      <c r="A14" s="3"/>
      <c r="B14" s="3"/>
      <c r="C14" s="3"/>
      <c r="D14" s="3"/>
      <c r="E14" s="3"/>
      <c r="F14" s="3"/>
      <c r="G14" s="3"/>
      <c r="H14" s="3"/>
      <c r="I14" s="3"/>
      <c r="J14" s="3"/>
      <c r="K14" s="3"/>
      <c r="L14" s="3"/>
      <c r="M14" s="3"/>
      <c r="N14" s="3"/>
      <c r="O14" s="3"/>
      <c r="P14" s="3"/>
      <c r="Q14" s="3"/>
      <c r="R14" s="3"/>
      <c r="T14" s="71"/>
      <c r="U14" s="71"/>
    </row>
    <row r="15" spans="1:21" ht="14.25">
      <c r="A15" s="72"/>
      <c r="B15" s="395" t="str">
        <f>'19. HB'!B35</f>
        <v>Дата: 27.08.2018 г.</v>
      </c>
      <c r="C15" s="74"/>
    </row>
    <row r="16" spans="1:21" ht="15">
      <c r="K16" s="91"/>
      <c r="L16" s="91"/>
      <c r="M16" s="91"/>
      <c r="N16" s="91"/>
      <c r="O16" s="91"/>
    </row>
    <row r="17" spans="1:16">
      <c r="K17" s="291" t="str">
        <f>'14. ОПР'!D49</f>
        <v>Главен счетоводител:</v>
      </c>
      <c r="L17" s="393"/>
      <c r="M17" s="288"/>
      <c r="N17" s="218" t="s">
        <v>262</v>
      </c>
      <c r="O17" s="198"/>
      <c r="P17" s="198"/>
    </row>
    <row r="18" spans="1:16">
      <c r="L18" s="287"/>
      <c r="M18" s="219"/>
      <c r="N18" s="289"/>
      <c r="O18" s="290" t="s">
        <v>5</v>
      </c>
      <c r="P18" s="198"/>
    </row>
    <row r="19" spans="1:16">
      <c r="L19" s="287"/>
      <c r="M19" s="219"/>
      <c r="N19" s="289"/>
      <c r="O19" s="290"/>
      <c r="P19" s="198"/>
    </row>
    <row r="20" spans="1:16">
      <c r="L20" s="287"/>
      <c r="M20" s="219"/>
      <c r="N20" s="289"/>
      <c r="O20" s="290"/>
      <c r="P20" s="198"/>
    </row>
    <row r="21" spans="1:16">
      <c r="A21" s="3655"/>
      <c r="B21" s="3655"/>
      <c r="C21" s="3655"/>
      <c r="L21" s="287"/>
      <c r="M21" s="219"/>
      <c r="N21" s="289"/>
      <c r="O21" s="290"/>
      <c r="P21" s="198"/>
    </row>
    <row r="22" spans="1:16">
      <c r="A22" s="3658"/>
      <c r="B22" s="3658"/>
      <c r="C22" s="3658"/>
      <c r="L22" s="291" t="str">
        <f>'19. HB'!F40</f>
        <v>Управител:</v>
      </c>
      <c r="N22" s="218" t="s">
        <v>262</v>
      </c>
      <c r="O22" s="216"/>
      <c r="P22" s="198"/>
    </row>
    <row r="23" spans="1:16">
      <c r="C23" s="92"/>
      <c r="L23" s="287"/>
      <c r="M23" s="292"/>
      <c r="N23" s="289"/>
      <c r="O23" s="290" t="s">
        <v>6</v>
      </c>
      <c r="P23" s="198"/>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78740157480314965" right="0.78740157480314965" top="1.1811023622047245" bottom="0.78740157480314965" header="0.51181102362204722" footer="0.51181102362204722"/>
  <pageSetup paperSize="9" scale="72"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8"/>
  <sheetViews>
    <sheetView zoomScale="80" zoomScaleNormal="80" workbookViewId="0">
      <pane xSplit="1" ySplit="2" topLeftCell="B135" activePane="bottomRight" state="frozen"/>
      <selection pane="topRight" activeCell="B1" sqref="B1"/>
      <selection pane="bottomLeft" activeCell="A2" sqref="A2"/>
      <selection pane="bottomRight" activeCell="D73" sqref="D73"/>
    </sheetView>
  </sheetViews>
  <sheetFormatPr defaultRowHeight="12.75"/>
  <cols>
    <col min="1" max="1" width="19.85546875" style="2822" customWidth="1"/>
    <col min="2" max="2" width="13.5703125" style="2822" customWidth="1"/>
    <col min="3" max="3" width="103.28515625" style="2822" customWidth="1"/>
    <col min="4" max="4" width="30.28515625" style="2822" customWidth="1"/>
    <col min="5" max="5" width="40.140625" style="2822" customWidth="1"/>
    <col min="6" max="6" width="47.28515625" style="2822" customWidth="1"/>
    <col min="7" max="16384" width="9.140625" style="2822"/>
  </cols>
  <sheetData>
    <row r="1" spans="1:7" ht="14.25" thickBot="1">
      <c r="F1" s="2823" t="s">
        <v>750</v>
      </c>
      <c r="G1" s="2824"/>
    </row>
    <row r="2" spans="1:7" ht="50.25" customHeight="1">
      <c r="A2" s="2825" t="s">
        <v>821</v>
      </c>
      <c r="B2" s="2826" t="s">
        <v>822</v>
      </c>
      <c r="C2" s="2826" t="s">
        <v>163</v>
      </c>
      <c r="D2" s="2826" t="s">
        <v>162</v>
      </c>
      <c r="E2" s="2825" t="s">
        <v>411</v>
      </c>
      <c r="F2" s="2826" t="s">
        <v>161</v>
      </c>
    </row>
    <row r="3" spans="1:7">
      <c r="A3" s="3711" t="s">
        <v>1329</v>
      </c>
      <c r="B3" s="2827"/>
      <c r="C3" s="2828"/>
      <c r="D3" s="2829"/>
      <c r="E3" s="3717" t="s">
        <v>412</v>
      </c>
      <c r="F3" s="2830" t="s">
        <v>1425</v>
      </c>
    </row>
    <row r="4" spans="1:7" ht="127.5">
      <c r="A4" s="3712"/>
      <c r="B4" s="2831" t="s">
        <v>3</v>
      </c>
      <c r="C4" s="2832" t="s">
        <v>414</v>
      </c>
      <c r="D4" s="2833" t="s">
        <v>413</v>
      </c>
      <c r="E4" s="3718"/>
      <c r="F4" s="2834"/>
    </row>
    <row r="5" spans="1:7">
      <c r="A5" s="3713"/>
      <c r="B5" s="2835" t="s">
        <v>7</v>
      </c>
      <c r="C5" s="2836" t="s">
        <v>416</v>
      </c>
      <c r="D5" s="2837" t="s">
        <v>415</v>
      </c>
      <c r="E5" s="3719"/>
      <c r="F5" s="2838"/>
    </row>
    <row r="6" spans="1:7">
      <c r="A6" s="2839"/>
      <c r="B6" s="2839"/>
      <c r="C6" s="2840"/>
      <c r="D6" s="2839"/>
      <c r="E6" s="2839"/>
      <c r="F6" s="2841"/>
    </row>
    <row r="7" spans="1:7">
      <c r="A7" s="3711" t="s">
        <v>1328</v>
      </c>
      <c r="B7" s="2827"/>
      <c r="C7" s="2842"/>
      <c r="D7" s="2829"/>
      <c r="E7" s="3720" t="s">
        <v>417</v>
      </c>
      <c r="F7" s="2843" t="s">
        <v>1426</v>
      </c>
    </row>
    <row r="8" spans="1:7" ht="51">
      <c r="A8" s="3712"/>
      <c r="B8" s="2844" t="s">
        <v>8</v>
      </c>
      <c r="C8" s="2832" t="s">
        <v>419</v>
      </c>
      <c r="D8" s="2833" t="s">
        <v>418</v>
      </c>
      <c r="E8" s="3721"/>
      <c r="F8" s="2845" t="s">
        <v>164</v>
      </c>
    </row>
    <row r="9" spans="1:7" ht="38.25">
      <c r="A9" s="3712"/>
      <c r="B9" s="2831" t="s">
        <v>9</v>
      </c>
      <c r="C9" s="2832"/>
      <c r="D9" s="2833" t="s">
        <v>418</v>
      </c>
      <c r="E9" s="3721"/>
      <c r="F9" s="2846"/>
    </row>
    <row r="10" spans="1:7" ht="38.25">
      <c r="A10" s="3712"/>
      <c r="B10" s="2831" t="s">
        <v>10</v>
      </c>
      <c r="C10" s="2847"/>
      <c r="D10" s="2833" t="s">
        <v>418</v>
      </c>
      <c r="E10" s="3721"/>
      <c r="F10" s="2846"/>
    </row>
    <row r="11" spans="1:7" ht="38.25">
      <c r="A11" s="3712"/>
      <c r="B11" s="2831" t="s">
        <v>11</v>
      </c>
      <c r="C11" s="2832"/>
      <c r="D11" s="2833" t="s">
        <v>418</v>
      </c>
      <c r="E11" s="3721"/>
      <c r="F11" s="2846"/>
    </row>
    <row r="12" spans="1:7" ht="38.25">
      <c r="A12" s="3712"/>
      <c r="B12" s="2831" t="s">
        <v>12</v>
      </c>
      <c r="C12" s="2832"/>
      <c r="D12" s="2833" t="s">
        <v>418</v>
      </c>
      <c r="E12" s="3721"/>
      <c r="F12" s="2846"/>
    </row>
    <row r="13" spans="1:7" ht="63.75">
      <c r="A13" s="3712"/>
      <c r="B13" s="2844" t="s">
        <v>13</v>
      </c>
      <c r="C13" s="2832" t="s">
        <v>420</v>
      </c>
      <c r="D13" s="2833" t="s">
        <v>418</v>
      </c>
      <c r="E13" s="3721"/>
      <c r="F13" s="2845" t="s">
        <v>165</v>
      </c>
    </row>
    <row r="14" spans="1:7" ht="38.25">
      <c r="A14" s="3712"/>
      <c r="B14" s="2831" t="s">
        <v>14</v>
      </c>
      <c r="C14" s="2832"/>
      <c r="D14" s="2833" t="s">
        <v>418</v>
      </c>
      <c r="E14" s="3721"/>
      <c r="F14" s="2848"/>
    </row>
    <row r="15" spans="1:7" ht="38.25">
      <c r="A15" s="3712"/>
      <c r="B15" s="2831" t="s">
        <v>15</v>
      </c>
      <c r="C15" s="2849"/>
      <c r="D15" s="2833" t="s">
        <v>418</v>
      </c>
      <c r="E15" s="3721"/>
      <c r="F15" s="2848"/>
    </row>
    <row r="16" spans="1:7" ht="38.25">
      <c r="A16" s="3712"/>
      <c r="B16" s="2831" t="s">
        <v>16</v>
      </c>
      <c r="C16" s="2849"/>
      <c r="D16" s="2833" t="s">
        <v>418</v>
      </c>
      <c r="E16" s="3721"/>
      <c r="F16" s="2848"/>
    </row>
    <row r="17" spans="1:6" ht="38.25">
      <c r="A17" s="3713"/>
      <c r="B17" s="2835" t="s">
        <v>17</v>
      </c>
      <c r="C17" s="2850"/>
      <c r="D17" s="2837" t="s">
        <v>418</v>
      </c>
      <c r="E17" s="3722"/>
      <c r="F17" s="2838"/>
    </row>
    <row r="18" spans="1:6">
      <c r="A18" s="2839"/>
      <c r="B18" s="2839"/>
      <c r="C18" s="2840"/>
      <c r="D18" s="2839"/>
      <c r="E18" s="2839"/>
      <c r="F18" s="2841"/>
    </row>
    <row r="19" spans="1:6">
      <c r="A19" s="3711" t="s">
        <v>1330</v>
      </c>
      <c r="B19" s="2827"/>
      <c r="C19" s="2828"/>
      <c r="D19" s="2829"/>
      <c r="E19" s="3720" t="s">
        <v>417</v>
      </c>
      <c r="F19" s="2843" t="s">
        <v>1427</v>
      </c>
    </row>
    <row r="20" spans="1:6" ht="51">
      <c r="A20" s="3712"/>
      <c r="B20" s="2844" t="s">
        <v>18</v>
      </c>
      <c r="C20" s="2832" t="s">
        <v>421</v>
      </c>
      <c r="D20" s="2833" t="s">
        <v>418</v>
      </c>
      <c r="E20" s="3721"/>
      <c r="F20" s="2845" t="s">
        <v>166</v>
      </c>
    </row>
    <row r="21" spans="1:6" ht="38.25">
      <c r="A21" s="3712"/>
      <c r="B21" s="2831" t="s">
        <v>19</v>
      </c>
      <c r="C21" s="2832"/>
      <c r="D21" s="2833" t="s">
        <v>418</v>
      </c>
      <c r="E21" s="3721"/>
      <c r="F21" s="2846"/>
    </row>
    <row r="22" spans="1:6" ht="38.25">
      <c r="A22" s="3712"/>
      <c r="B22" s="2831" t="s">
        <v>20</v>
      </c>
      <c r="C22" s="2832"/>
      <c r="D22" s="2833" t="s">
        <v>418</v>
      </c>
      <c r="E22" s="3721"/>
      <c r="F22" s="2846"/>
    </row>
    <row r="23" spans="1:6" ht="38.25">
      <c r="A23" s="3712"/>
      <c r="B23" s="2831" t="s">
        <v>21</v>
      </c>
      <c r="C23" s="2832"/>
      <c r="D23" s="2833" t="s">
        <v>418</v>
      </c>
      <c r="E23" s="3721"/>
      <c r="F23" s="2846"/>
    </row>
    <row r="24" spans="1:6" ht="38.25">
      <c r="A24" s="3712"/>
      <c r="B24" s="2831" t="s">
        <v>22</v>
      </c>
      <c r="C24" s="2832"/>
      <c r="D24" s="2833" t="s">
        <v>418</v>
      </c>
      <c r="E24" s="3721"/>
      <c r="F24" s="2846"/>
    </row>
    <row r="25" spans="1:6" ht="63.75">
      <c r="A25" s="3712"/>
      <c r="B25" s="2844" t="s">
        <v>23</v>
      </c>
      <c r="C25" s="2832" t="s">
        <v>422</v>
      </c>
      <c r="D25" s="2833" t="s">
        <v>418</v>
      </c>
      <c r="E25" s="3721"/>
      <c r="F25" s="2845" t="s">
        <v>167</v>
      </c>
    </row>
    <row r="26" spans="1:6" ht="38.25">
      <c r="A26" s="3712"/>
      <c r="B26" s="2831" t="s">
        <v>24</v>
      </c>
      <c r="C26" s="2832"/>
      <c r="D26" s="2833" t="s">
        <v>418</v>
      </c>
      <c r="E26" s="3721"/>
      <c r="F26" s="2848"/>
    </row>
    <row r="27" spans="1:6" ht="38.25">
      <c r="A27" s="3712"/>
      <c r="B27" s="2831" t="s">
        <v>25</v>
      </c>
      <c r="C27" s="2832"/>
      <c r="D27" s="2833" t="s">
        <v>418</v>
      </c>
      <c r="E27" s="3721"/>
      <c r="F27" s="2848"/>
    </row>
    <row r="28" spans="1:6" ht="38.25">
      <c r="A28" s="3712"/>
      <c r="B28" s="2831" t="s">
        <v>26</v>
      </c>
      <c r="C28" s="2832"/>
      <c r="D28" s="2833" t="s">
        <v>418</v>
      </c>
      <c r="E28" s="3721"/>
      <c r="F28" s="2848"/>
    </row>
    <row r="29" spans="1:6" ht="38.25">
      <c r="A29" s="3713"/>
      <c r="B29" s="2835" t="s">
        <v>27</v>
      </c>
      <c r="C29" s="2836"/>
      <c r="D29" s="2837" t="s">
        <v>418</v>
      </c>
      <c r="E29" s="3722"/>
      <c r="F29" s="2838"/>
    </row>
    <row r="30" spans="1:6">
      <c r="A30" s="2839"/>
      <c r="B30" s="2839"/>
      <c r="C30" s="2840"/>
      <c r="D30" s="2839"/>
      <c r="E30" s="2839"/>
      <c r="F30" s="2841"/>
    </row>
    <row r="31" spans="1:6" ht="36.75" customHeight="1">
      <c r="A31" s="3712" t="s">
        <v>1327</v>
      </c>
      <c r="B31" s="2851"/>
      <c r="C31" s="2852"/>
      <c r="D31" s="2831"/>
      <c r="E31" s="3718" t="s">
        <v>423</v>
      </c>
      <c r="F31" s="2853" t="s">
        <v>1428</v>
      </c>
    </row>
    <row r="32" spans="1:6" ht="51.75" customHeight="1">
      <c r="A32" s="3712"/>
      <c r="B32" s="2831" t="s">
        <v>28</v>
      </c>
      <c r="C32" s="2854" t="s">
        <v>424</v>
      </c>
      <c r="D32" s="2833" t="s">
        <v>418</v>
      </c>
      <c r="E32" s="3718"/>
      <c r="F32" s="2834"/>
    </row>
    <row r="33" spans="1:6" ht="54" customHeight="1">
      <c r="A33" s="3712"/>
      <c r="B33" s="2831" t="s">
        <v>29</v>
      </c>
      <c r="C33" s="2832" t="s">
        <v>425</v>
      </c>
      <c r="D33" s="2833" t="s">
        <v>418</v>
      </c>
      <c r="E33" s="3718"/>
      <c r="F33" s="2848"/>
    </row>
    <row r="34" spans="1:6">
      <c r="A34" s="2839"/>
      <c r="B34" s="2839"/>
      <c r="C34" s="2840"/>
      <c r="D34" s="2839"/>
      <c r="E34" s="2839"/>
      <c r="F34" s="2841"/>
    </row>
    <row r="35" spans="1:6">
      <c r="A35" s="3711" t="s">
        <v>1331</v>
      </c>
      <c r="B35" s="2827"/>
      <c r="C35" s="2828"/>
      <c r="D35" s="2829"/>
      <c r="E35" s="3720" t="s">
        <v>426</v>
      </c>
      <c r="F35" s="2855" t="s">
        <v>168</v>
      </c>
    </row>
    <row r="36" spans="1:6" ht="38.25">
      <c r="A36" s="3712"/>
      <c r="B36" s="2831" t="s">
        <v>30</v>
      </c>
      <c r="C36" s="2832" t="s">
        <v>169</v>
      </c>
      <c r="D36" s="2833" t="s">
        <v>427</v>
      </c>
      <c r="E36" s="3721"/>
      <c r="F36" s="2834"/>
    </row>
    <row r="37" spans="1:6" ht="38.25">
      <c r="A37" s="3712"/>
      <c r="B37" s="2831" t="s">
        <v>31</v>
      </c>
      <c r="C37" s="2832" t="s">
        <v>170</v>
      </c>
      <c r="D37" s="2833" t="s">
        <v>427</v>
      </c>
      <c r="E37" s="3721"/>
      <c r="F37" s="2856"/>
    </row>
    <row r="38" spans="1:6" ht="127.5">
      <c r="A38" s="3712"/>
      <c r="B38" s="2831" t="s">
        <v>3</v>
      </c>
      <c r="C38" s="2832" t="s">
        <v>414</v>
      </c>
      <c r="D38" s="2833" t="s">
        <v>413</v>
      </c>
      <c r="E38" s="3721"/>
      <c r="F38" s="2834"/>
    </row>
    <row r="39" spans="1:6" ht="127.5">
      <c r="A39" s="3712"/>
      <c r="B39" s="2831" t="s">
        <v>32</v>
      </c>
      <c r="C39" s="2832" t="s">
        <v>1326</v>
      </c>
      <c r="D39" s="2833" t="s">
        <v>427</v>
      </c>
      <c r="E39" s="3721"/>
      <c r="F39" s="2834"/>
    </row>
    <row r="40" spans="1:6" ht="38.25">
      <c r="A40" s="3712"/>
      <c r="B40" s="2831" t="s">
        <v>33</v>
      </c>
      <c r="C40" s="2832"/>
      <c r="D40" s="2833" t="s">
        <v>427</v>
      </c>
      <c r="E40" s="3721"/>
      <c r="F40" s="2834"/>
    </row>
    <row r="41" spans="1:6" ht="63.75">
      <c r="A41" s="3713"/>
      <c r="B41" s="2835" t="s">
        <v>34</v>
      </c>
      <c r="C41" s="2836" t="s">
        <v>429</v>
      </c>
      <c r="D41" s="2837" t="s">
        <v>428</v>
      </c>
      <c r="E41" s="3722"/>
      <c r="F41" s="2857"/>
    </row>
    <row r="42" spans="1:6">
      <c r="A42" s="2839"/>
      <c r="B42" s="2839"/>
      <c r="C42" s="2840"/>
      <c r="D42" s="2839"/>
      <c r="E42" s="2839"/>
      <c r="F42" s="2841"/>
    </row>
    <row r="43" spans="1:6" ht="140.25">
      <c r="A43" s="3712" t="s">
        <v>1337</v>
      </c>
      <c r="B43" s="2831"/>
      <c r="C43" s="2832" t="s">
        <v>1424</v>
      </c>
      <c r="D43" s="2831"/>
      <c r="E43" s="3721" t="s">
        <v>430</v>
      </c>
      <c r="F43" s="2853" t="s">
        <v>1429</v>
      </c>
    </row>
    <row r="44" spans="1:6" ht="38.25">
      <c r="A44" s="3712"/>
      <c r="B44" s="2831" t="s">
        <v>49</v>
      </c>
      <c r="C44" s="2832" t="s">
        <v>453</v>
      </c>
      <c r="D44" s="2833" t="s">
        <v>452</v>
      </c>
      <c r="E44" s="3721"/>
      <c r="F44" s="2853" t="s">
        <v>1319</v>
      </c>
    </row>
    <row r="45" spans="1:6" ht="25.5">
      <c r="A45" s="3712"/>
      <c r="B45" s="2831" t="s">
        <v>1053</v>
      </c>
      <c r="C45" s="2832"/>
      <c r="D45" s="2833" t="s">
        <v>431</v>
      </c>
      <c r="E45" s="3721"/>
      <c r="F45" s="2853"/>
    </row>
    <row r="46" spans="1:6" ht="38.25">
      <c r="A46" s="3712"/>
      <c r="B46" s="2831" t="s">
        <v>35</v>
      </c>
      <c r="C46" s="2832" t="s">
        <v>433</v>
      </c>
      <c r="D46" s="2833" t="s">
        <v>432</v>
      </c>
      <c r="E46" s="3721"/>
      <c r="F46" s="2848"/>
    </row>
    <row r="47" spans="1:6" ht="38.25">
      <c r="A47" s="3712"/>
      <c r="B47" s="2858" t="s">
        <v>1054</v>
      </c>
      <c r="C47" s="2859"/>
      <c r="D47" s="2833" t="s">
        <v>452</v>
      </c>
      <c r="E47" s="2860"/>
      <c r="F47" s="2848"/>
    </row>
    <row r="48" spans="1:6">
      <c r="A48" s="2839"/>
      <c r="B48" s="2839"/>
      <c r="C48" s="2840"/>
      <c r="D48" s="2839"/>
      <c r="E48" s="2839"/>
      <c r="F48" s="2841"/>
    </row>
    <row r="49" spans="1:6">
      <c r="A49" s="3711" t="s">
        <v>1332</v>
      </c>
      <c r="B49" s="2861"/>
      <c r="C49" s="2862"/>
      <c r="D49" s="2861"/>
      <c r="E49" s="3720" t="s">
        <v>434</v>
      </c>
      <c r="F49" s="2855" t="s">
        <v>171</v>
      </c>
    </row>
    <row r="50" spans="1:6" ht="125.25" customHeight="1">
      <c r="A50" s="3712"/>
      <c r="B50" s="2831" t="s">
        <v>36</v>
      </c>
      <c r="C50" s="2832" t="s">
        <v>1325</v>
      </c>
      <c r="D50" s="2833" t="s">
        <v>427</v>
      </c>
      <c r="E50" s="3721"/>
      <c r="F50" s="2848"/>
    </row>
    <row r="51" spans="1:6" ht="51">
      <c r="A51" s="3713"/>
      <c r="B51" s="2835" t="s">
        <v>37</v>
      </c>
      <c r="C51" s="2836" t="s">
        <v>435</v>
      </c>
      <c r="D51" s="2837" t="s">
        <v>432</v>
      </c>
      <c r="E51" s="3722"/>
      <c r="F51" s="2838"/>
    </row>
    <row r="52" spans="1:6">
      <c r="A52" s="2839"/>
      <c r="B52" s="2839"/>
      <c r="C52" s="2840"/>
      <c r="D52" s="2839"/>
      <c r="E52" s="2839"/>
      <c r="F52" s="2841"/>
    </row>
    <row r="53" spans="1:6">
      <c r="A53" s="3711" t="s">
        <v>1333</v>
      </c>
      <c r="B53" s="2861"/>
      <c r="C53" s="2842"/>
      <c r="D53" s="2861"/>
      <c r="E53" s="3720" t="s">
        <v>1321</v>
      </c>
      <c r="F53" s="2855" t="s">
        <v>1320</v>
      </c>
    </row>
    <row r="54" spans="1:6" ht="51">
      <c r="A54" s="3712"/>
      <c r="B54" s="2831" t="s">
        <v>1011</v>
      </c>
      <c r="C54" s="2832" t="s">
        <v>1323</v>
      </c>
      <c r="D54" s="2833" t="s">
        <v>1322</v>
      </c>
      <c r="E54" s="3721"/>
      <c r="F54" s="2834"/>
    </row>
    <row r="55" spans="1:6" ht="38.25">
      <c r="A55" s="3713"/>
      <c r="B55" s="2835" t="s">
        <v>1012</v>
      </c>
      <c r="C55" s="2836" t="s">
        <v>1324</v>
      </c>
      <c r="D55" s="2837" t="s">
        <v>431</v>
      </c>
      <c r="E55" s="3722"/>
      <c r="F55" s="2857"/>
    </row>
    <row r="56" spans="1:6">
      <c r="A56" s="2839"/>
      <c r="B56" s="2839"/>
      <c r="C56" s="2840"/>
      <c r="D56" s="2839"/>
      <c r="E56" s="2839"/>
      <c r="F56" s="2841"/>
    </row>
    <row r="57" spans="1:6">
      <c r="A57" s="3712" t="s">
        <v>1334</v>
      </c>
      <c r="B57" s="2863"/>
      <c r="C57" s="2832"/>
      <c r="D57" s="2863"/>
      <c r="E57" s="3721" t="s">
        <v>412</v>
      </c>
      <c r="F57" s="2853" t="s">
        <v>172</v>
      </c>
    </row>
    <row r="58" spans="1:6" ht="140.25">
      <c r="A58" s="3712"/>
      <c r="B58" s="2831" t="s">
        <v>40</v>
      </c>
      <c r="C58" s="2832" t="s">
        <v>438</v>
      </c>
      <c r="D58" s="2833" t="s">
        <v>437</v>
      </c>
      <c r="E58" s="3721"/>
      <c r="F58" s="2856"/>
    </row>
    <row r="59" spans="1:6">
      <c r="A59" s="3712"/>
      <c r="B59" s="2831" t="s">
        <v>7</v>
      </c>
      <c r="C59" s="2832" t="s">
        <v>416</v>
      </c>
      <c r="D59" s="2833" t="s">
        <v>415</v>
      </c>
      <c r="E59" s="3721"/>
      <c r="F59" s="2864"/>
    </row>
    <row r="60" spans="1:6">
      <c r="A60" s="2839"/>
      <c r="B60" s="2839"/>
      <c r="C60" s="2840"/>
      <c r="D60" s="2839"/>
      <c r="E60" s="2839"/>
      <c r="F60" s="2841"/>
    </row>
    <row r="61" spans="1:6">
      <c r="A61" s="3711" t="s">
        <v>1335</v>
      </c>
      <c r="B61" s="2861"/>
      <c r="C61" s="2842"/>
      <c r="D61" s="2861"/>
      <c r="E61" s="3720" t="s">
        <v>439</v>
      </c>
      <c r="F61" s="2855" t="s">
        <v>173</v>
      </c>
    </row>
    <row r="62" spans="1:6" ht="127.5">
      <c r="A62" s="3712"/>
      <c r="B62" s="2831" t="s">
        <v>41</v>
      </c>
      <c r="C62" s="2832" t="s">
        <v>440</v>
      </c>
      <c r="D62" s="2833" t="s">
        <v>437</v>
      </c>
      <c r="E62" s="3721"/>
      <c r="F62" s="2856"/>
    </row>
    <row r="63" spans="1:6">
      <c r="A63" s="3713"/>
      <c r="B63" s="2835" t="s">
        <v>7</v>
      </c>
      <c r="C63" s="2836" t="s">
        <v>416</v>
      </c>
      <c r="D63" s="2837" t="s">
        <v>415</v>
      </c>
      <c r="E63" s="3722"/>
      <c r="F63" s="2865"/>
    </row>
    <row r="64" spans="1:6">
      <c r="A64" s="2839"/>
      <c r="B64" s="2839"/>
      <c r="C64" s="2840"/>
      <c r="D64" s="2839"/>
      <c r="E64" s="2839"/>
      <c r="F64" s="2841"/>
    </row>
    <row r="65" spans="1:6">
      <c r="A65" s="3711" t="s">
        <v>1336</v>
      </c>
      <c r="B65" s="2861"/>
      <c r="C65" s="2842"/>
      <c r="D65" s="2861"/>
      <c r="E65" s="3720" t="s">
        <v>441</v>
      </c>
      <c r="F65" s="2855" t="s">
        <v>1430</v>
      </c>
    </row>
    <row r="66" spans="1:6" ht="38.25">
      <c r="A66" s="3712"/>
      <c r="B66" s="2831" t="s">
        <v>42</v>
      </c>
      <c r="C66" s="2832" t="s">
        <v>442</v>
      </c>
      <c r="D66" s="2866" t="s">
        <v>418</v>
      </c>
      <c r="E66" s="3721"/>
      <c r="F66" s="2834"/>
    </row>
    <row r="67" spans="1:6" ht="38.25">
      <c r="A67" s="3713"/>
      <c r="B67" s="2835" t="s">
        <v>478</v>
      </c>
      <c r="C67" s="2836" t="s">
        <v>479</v>
      </c>
      <c r="D67" s="2867" t="s">
        <v>418</v>
      </c>
      <c r="E67" s="3722"/>
      <c r="F67" s="2857"/>
    </row>
    <row r="68" spans="1:6">
      <c r="A68" s="2839"/>
      <c r="B68" s="2839"/>
      <c r="C68" s="2840"/>
      <c r="D68" s="2839"/>
      <c r="E68" s="2839"/>
      <c r="F68" s="2841"/>
    </row>
    <row r="69" spans="1:6">
      <c r="A69" s="3711" t="s">
        <v>1338</v>
      </c>
      <c r="B69" s="2861"/>
      <c r="C69" s="2842"/>
      <c r="D69" s="2861"/>
      <c r="E69" s="3720" t="s">
        <v>443</v>
      </c>
      <c r="F69" s="2843" t="s">
        <v>174</v>
      </c>
    </row>
    <row r="70" spans="1:6" ht="38.25">
      <c r="A70" s="3712"/>
      <c r="B70" s="2859" t="s">
        <v>43</v>
      </c>
      <c r="C70" s="2832" t="s">
        <v>444</v>
      </c>
      <c r="D70" s="2833" t="s">
        <v>427</v>
      </c>
      <c r="E70" s="3721"/>
      <c r="F70" s="2864"/>
    </row>
    <row r="71" spans="1:6" ht="38.25">
      <c r="A71" s="3712"/>
      <c r="B71" s="2859" t="s">
        <v>44</v>
      </c>
      <c r="C71" s="2832" t="s">
        <v>175</v>
      </c>
      <c r="D71" s="2833" t="s">
        <v>427</v>
      </c>
      <c r="E71" s="3721"/>
      <c r="F71" s="2864"/>
    </row>
    <row r="72" spans="1:6" ht="38.25">
      <c r="A72" s="3712"/>
      <c r="B72" s="2859" t="s">
        <v>45</v>
      </c>
      <c r="C72" s="2832" t="s">
        <v>445</v>
      </c>
      <c r="D72" s="2833" t="s">
        <v>427</v>
      </c>
      <c r="E72" s="3721"/>
      <c r="F72" s="2864"/>
    </row>
    <row r="73" spans="1:6" ht="38.25">
      <c r="A73" s="3713"/>
      <c r="B73" s="2835" t="s">
        <v>46</v>
      </c>
      <c r="C73" s="2836" t="s">
        <v>446</v>
      </c>
      <c r="D73" s="2837" t="s">
        <v>432</v>
      </c>
      <c r="E73" s="3722"/>
      <c r="F73" s="2838"/>
    </row>
    <row r="74" spans="1:6">
      <c r="A74" s="2839"/>
      <c r="B74" s="2839"/>
      <c r="C74" s="2840"/>
      <c r="D74" s="2839"/>
      <c r="E74" s="2839"/>
      <c r="F74" s="2841"/>
    </row>
    <row r="75" spans="1:6" ht="20.25" customHeight="1">
      <c r="A75" s="3711" t="s">
        <v>1339</v>
      </c>
      <c r="B75" s="2861"/>
      <c r="C75" s="2842"/>
      <c r="D75" s="2861"/>
      <c r="E75" s="3720" t="s">
        <v>447</v>
      </c>
      <c r="F75" s="2843" t="s">
        <v>176</v>
      </c>
    </row>
    <row r="76" spans="1:6" ht="27.75" customHeight="1">
      <c r="A76" s="3712"/>
      <c r="B76" s="2859" t="s">
        <v>47</v>
      </c>
      <c r="C76" s="2832" t="s">
        <v>449</v>
      </c>
      <c r="D76" s="2833" t="s">
        <v>448</v>
      </c>
      <c r="E76" s="3721"/>
      <c r="F76" s="2864"/>
    </row>
    <row r="77" spans="1:6" ht="32.25" customHeight="1">
      <c r="A77" s="3713"/>
      <c r="B77" s="2835" t="s">
        <v>39</v>
      </c>
      <c r="C77" s="2836" t="s">
        <v>436</v>
      </c>
      <c r="D77" s="2837" t="s">
        <v>450</v>
      </c>
      <c r="E77" s="3722"/>
      <c r="F77" s="2865"/>
    </row>
    <row r="78" spans="1:6">
      <c r="A78" s="2839"/>
      <c r="B78" s="2839"/>
      <c r="C78" s="2840"/>
      <c r="D78" s="2839"/>
      <c r="E78" s="2839"/>
      <c r="F78" s="2841"/>
    </row>
    <row r="79" spans="1:6">
      <c r="A79" s="3711" t="s">
        <v>1340</v>
      </c>
      <c r="B79" s="2861"/>
      <c r="C79" s="2842"/>
      <c r="D79" s="2861"/>
      <c r="E79" s="3717" t="s">
        <v>451</v>
      </c>
      <c r="F79" s="2843" t="s">
        <v>177</v>
      </c>
    </row>
    <row r="80" spans="1:6" ht="102">
      <c r="A80" s="3712"/>
      <c r="B80" s="2859" t="s">
        <v>48</v>
      </c>
      <c r="C80" s="2832" t="s">
        <v>1437</v>
      </c>
      <c r="D80" s="2833" t="s">
        <v>452</v>
      </c>
      <c r="E80" s="3718"/>
      <c r="F80" s="2864"/>
    </row>
    <row r="81" spans="1:6" ht="38.25">
      <c r="A81" s="3713"/>
      <c r="B81" s="2847" t="s">
        <v>49</v>
      </c>
      <c r="C81" s="2836" t="s">
        <v>453</v>
      </c>
      <c r="D81" s="2837" t="s">
        <v>452</v>
      </c>
      <c r="E81" s="3719"/>
      <c r="F81" s="2865"/>
    </row>
    <row r="82" spans="1:6">
      <c r="A82" s="2839"/>
      <c r="B82" s="2839"/>
      <c r="C82" s="2840"/>
      <c r="D82" s="2839"/>
      <c r="E82" s="2839"/>
      <c r="F82" s="2841"/>
    </row>
    <row r="83" spans="1:6">
      <c r="A83" s="3711" t="s">
        <v>1341</v>
      </c>
      <c r="B83" s="2861"/>
      <c r="C83" s="2842"/>
      <c r="D83" s="2861"/>
      <c r="E83" s="3723" t="s">
        <v>454</v>
      </c>
      <c r="F83" s="2843" t="s">
        <v>178</v>
      </c>
    </row>
    <row r="84" spans="1:6" ht="38.25">
      <c r="A84" s="3712"/>
      <c r="B84" s="2859" t="s">
        <v>50</v>
      </c>
      <c r="C84" s="2832" t="s">
        <v>1438</v>
      </c>
      <c r="D84" s="2833" t="s">
        <v>452</v>
      </c>
      <c r="E84" s="3724"/>
      <c r="F84" s="2864"/>
    </row>
    <row r="85" spans="1:6" ht="38.25">
      <c r="A85" s="3713"/>
      <c r="B85" s="2847" t="s">
        <v>51</v>
      </c>
      <c r="C85" s="2836" t="s">
        <v>455</v>
      </c>
      <c r="D85" s="2837" t="s">
        <v>452</v>
      </c>
      <c r="E85" s="3725"/>
      <c r="F85" s="2865"/>
    </row>
    <row r="86" spans="1:6">
      <c r="A86" s="2839"/>
      <c r="B86" s="2839"/>
      <c r="C86" s="2840"/>
      <c r="D86" s="2839"/>
      <c r="E86" s="2839"/>
      <c r="F86" s="2841"/>
    </row>
    <row r="87" spans="1:6">
      <c r="A87" s="3711" t="s">
        <v>1342</v>
      </c>
      <c r="B87" s="2861"/>
      <c r="C87" s="2842"/>
      <c r="D87" s="2868"/>
      <c r="E87" s="3717" t="s">
        <v>456</v>
      </c>
      <c r="F87" s="2855" t="s">
        <v>1431</v>
      </c>
    </row>
    <row r="88" spans="1:6" ht="51">
      <c r="A88" s="3712"/>
      <c r="B88" s="2831" t="s">
        <v>52</v>
      </c>
      <c r="C88" s="2859" t="s">
        <v>458</v>
      </c>
      <c r="D88" s="2833" t="s">
        <v>457</v>
      </c>
      <c r="E88" s="3718"/>
      <c r="F88" s="2834"/>
    </row>
    <row r="89" spans="1:6" ht="25.5">
      <c r="A89" s="3713"/>
      <c r="B89" s="2835" t="s">
        <v>53</v>
      </c>
      <c r="C89" s="2847" t="s">
        <v>459</v>
      </c>
      <c r="D89" s="2837" t="s">
        <v>457</v>
      </c>
      <c r="E89" s="3719"/>
      <c r="F89" s="2857"/>
    </row>
    <row r="90" spans="1:6">
      <c r="A90" s="2839"/>
      <c r="B90" s="2839"/>
      <c r="C90" s="2840"/>
      <c r="D90" s="2839"/>
      <c r="E90" s="2839"/>
      <c r="F90" s="2841"/>
    </row>
    <row r="91" spans="1:6">
      <c r="A91" s="3711" t="s">
        <v>1343</v>
      </c>
      <c r="B91" s="2861"/>
      <c r="C91" s="2842"/>
      <c r="D91" s="2861"/>
      <c r="E91" s="3717" t="s">
        <v>1439</v>
      </c>
      <c r="F91" s="2843" t="s">
        <v>1432</v>
      </c>
    </row>
    <row r="92" spans="1:6" ht="25.5">
      <c r="A92" s="3712"/>
      <c r="B92" s="2831" t="s">
        <v>54</v>
      </c>
      <c r="C92" s="2832" t="s">
        <v>461</v>
      </c>
      <c r="D92" s="2833" t="s">
        <v>460</v>
      </c>
      <c r="E92" s="3718"/>
      <c r="F92" s="2834"/>
    </row>
    <row r="93" spans="1:6" ht="51">
      <c r="A93" s="3713"/>
      <c r="B93" s="2835" t="s">
        <v>37</v>
      </c>
      <c r="C93" s="2836" t="s">
        <v>462</v>
      </c>
      <c r="D93" s="2837" t="s">
        <v>432</v>
      </c>
      <c r="E93" s="3719"/>
      <c r="F93" s="2838"/>
    </row>
    <row r="94" spans="1:6">
      <c r="A94" s="2839"/>
      <c r="B94" s="2839"/>
      <c r="C94" s="2840"/>
      <c r="D94" s="2839"/>
      <c r="E94" s="2839"/>
      <c r="F94" s="2841"/>
    </row>
    <row r="95" spans="1:6" s="2872" customFormat="1">
      <c r="A95" s="3711" t="s">
        <v>1344</v>
      </c>
      <c r="B95" s="2869"/>
      <c r="C95" s="2870"/>
      <c r="D95" s="2869"/>
      <c r="E95" s="2869"/>
      <c r="F95" s="2871" t="s">
        <v>1356</v>
      </c>
    </row>
    <row r="96" spans="1:6" s="2872" customFormat="1" ht="83.25" customHeight="1">
      <c r="A96" s="3712"/>
      <c r="B96" s="2873" t="s">
        <v>1112</v>
      </c>
      <c r="C96" s="2874" t="s">
        <v>1357</v>
      </c>
      <c r="D96" s="2874" t="s">
        <v>1358</v>
      </c>
      <c r="E96" s="3726" t="s">
        <v>1359</v>
      </c>
      <c r="F96" s="2875"/>
    </row>
    <row r="97" spans="1:6" s="2872" customFormat="1" ht="48" customHeight="1">
      <c r="A97" s="3713"/>
      <c r="B97" s="2876"/>
      <c r="C97" s="2877"/>
      <c r="D97" s="2837" t="s">
        <v>432</v>
      </c>
      <c r="E97" s="3727"/>
      <c r="F97" s="2878"/>
    </row>
    <row r="98" spans="1:6">
      <c r="A98" s="2839"/>
      <c r="B98" s="2839"/>
      <c r="C98" s="2840"/>
      <c r="D98" s="2839"/>
      <c r="E98" s="2839"/>
      <c r="F98" s="2841"/>
    </row>
    <row r="99" spans="1:6">
      <c r="A99" s="3711" t="s">
        <v>1345</v>
      </c>
      <c r="B99" s="2861"/>
      <c r="C99" s="2842"/>
      <c r="D99" s="2861"/>
      <c r="E99" s="3723"/>
      <c r="F99" s="2843" t="s">
        <v>179</v>
      </c>
    </row>
    <row r="100" spans="1:6" ht="99.75" customHeight="1">
      <c r="A100" s="3712"/>
      <c r="B100" s="2859" t="s">
        <v>56</v>
      </c>
      <c r="C100" s="2832" t="s">
        <v>934</v>
      </c>
      <c r="D100" s="2859" t="s">
        <v>180</v>
      </c>
      <c r="E100" s="3724"/>
      <c r="F100" s="2864"/>
    </row>
    <row r="101" spans="1:6" ht="38.25">
      <c r="A101" s="3713"/>
      <c r="B101" s="2847" t="s">
        <v>57</v>
      </c>
      <c r="C101" s="2836" t="s">
        <v>935</v>
      </c>
      <c r="D101" s="2847" t="s">
        <v>180</v>
      </c>
      <c r="E101" s="3725"/>
      <c r="F101" s="2879"/>
    </row>
    <row r="102" spans="1:6">
      <c r="A102" s="2839"/>
      <c r="B102" s="2839"/>
      <c r="C102" s="2840"/>
      <c r="D102" s="2839"/>
      <c r="E102" s="2839"/>
      <c r="F102" s="2841"/>
    </row>
    <row r="103" spans="1:6">
      <c r="A103" s="3711" t="s">
        <v>1346</v>
      </c>
      <c r="B103" s="2861"/>
      <c r="C103" s="2862"/>
      <c r="D103" s="2861"/>
      <c r="E103" s="3717"/>
      <c r="F103" s="2855" t="s">
        <v>181</v>
      </c>
    </row>
    <row r="104" spans="1:6" ht="89.25">
      <c r="A104" s="3712"/>
      <c r="B104" s="2859" t="s">
        <v>59</v>
      </c>
      <c r="C104" s="2832" t="s">
        <v>936</v>
      </c>
      <c r="D104" s="2859" t="s">
        <v>180</v>
      </c>
      <c r="E104" s="3718"/>
      <c r="F104" s="2834"/>
    </row>
    <row r="105" spans="1:6" ht="38.25">
      <c r="A105" s="3713"/>
      <c r="B105" s="2847" t="s">
        <v>60</v>
      </c>
      <c r="C105" s="2836" t="s">
        <v>937</v>
      </c>
      <c r="D105" s="2847" t="s">
        <v>180</v>
      </c>
      <c r="E105" s="3719"/>
      <c r="F105" s="2857"/>
    </row>
    <row r="106" spans="1:6">
      <c r="A106" s="2839"/>
      <c r="B106" s="2839"/>
      <c r="C106" s="2840"/>
      <c r="D106" s="2839"/>
      <c r="E106" s="2839"/>
      <c r="F106" s="2841"/>
    </row>
    <row r="107" spans="1:6">
      <c r="A107" s="3711" t="s">
        <v>1347</v>
      </c>
      <c r="B107" s="2868"/>
      <c r="C107" s="2862"/>
      <c r="D107" s="2861"/>
      <c r="E107" s="3717"/>
      <c r="F107" s="2855" t="s">
        <v>182</v>
      </c>
    </row>
    <row r="108" spans="1:6" ht="89.25">
      <c r="A108" s="3712"/>
      <c r="B108" s="2859" t="s">
        <v>62</v>
      </c>
      <c r="C108" s="2832" t="s">
        <v>938</v>
      </c>
      <c r="D108" s="2859" t="s">
        <v>180</v>
      </c>
      <c r="E108" s="3718"/>
      <c r="F108" s="2834"/>
    </row>
    <row r="109" spans="1:6" ht="38.25">
      <c r="A109" s="3713"/>
      <c r="B109" s="2847" t="s">
        <v>63</v>
      </c>
      <c r="C109" s="2836" t="s">
        <v>939</v>
      </c>
      <c r="D109" s="2847" t="s">
        <v>180</v>
      </c>
      <c r="E109" s="3719"/>
      <c r="F109" s="2857"/>
    </row>
    <row r="110" spans="1:6">
      <c r="A110" s="2839"/>
      <c r="B110" s="2839"/>
      <c r="C110" s="2840"/>
      <c r="D110" s="2839"/>
      <c r="E110" s="2839"/>
      <c r="F110" s="2841"/>
    </row>
    <row r="111" spans="1:6">
      <c r="A111" s="3711" t="s">
        <v>1348</v>
      </c>
      <c r="B111" s="2861"/>
      <c r="C111" s="2842"/>
      <c r="D111" s="2861"/>
      <c r="E111" s="3717" t="s">
        <v>463</v>
      </c>
      <c r="F111" s="2843" t="s">
        <v>1433</v>
      </c>
    </row>
    <row r="112" spans="1:6" ht="102">
      <c r="A112" s="3712"/>
      <c r="B112" s="2859" t="s">
        <v>64</v>
      </c>
      <c r="C112" s="2880" t="s">
        <v>940</v>
      </c>
      <c r="D112" s="2859" t="s">
        <v>180</v>
      </c>
      <c r="E112" s="3718"/>
      <c r="F112" s="2864"/>
    </row>
    <row r="113" spans="1:6" ht="38.25">
      <c r="A113" s="3712"/>
      <c r="B113" s="2859" t="s">
        <v>65</v>
      </c>
      <c r="C113" s="2832" t="s">
        <v>941</v>
      </c>
      <c r="D113" s="2859" t="s">
        <v>180</v>
      </c>
      <c r="E113" s="3718"/>
      <c r="F113" s="2864"/>
    </row>
    <row r="114" spans="1:6" ht="51">
      <c r="A114" s="3713"/>
      <c r="B114" s="2847" t="s">
        <v>66</v>
      </c>
      <c r="C114" s="2836" t="s">
        <v>942</v>
      </c>
      <c r="D114" s="2847" t="s">
        <v>180</v>
      </c>
      <c r="E114" s="3719"/>
      <c r="F114" s="2865"/>
    </row>
    <row r="115" spans="1:6">
      <c r="A115" s="2839"/>
      <c r="B115" s="2839"/>
      <c r="C115" s="2840"/>
      <c r="D115" s="2839"/>
      <c r="E115" s="2839"/>
      <c r="F115" s="2841"/>
    </row>
    <row r="116" spans="1:6" s="2872" customFormat="1" ht="12.75" customHeight="1">
      <c r="A116" s="3711" t="s">
        <v>1349</v>
      </c>
      <c r="B116" s="2869"/>
      <c r="C116" s="2870"/>
      <c r="D116" s="2869"/>
      <c r="E116" s="2869"/>
      <c r="F116" s="2871" t="s">
        <v>1360</v>
      </c>
    </row>
    <row r="117" spans="1:6" s="2872" customFormat="1" ht="51">
      <c r="A117" s="3712"/>
      <c r="B117" s="2881" t="s">
        <v>1114</v>
      </c>
      <c r="C117" s="2882" t="s">
        <v>1363</v>
      </c>
      <c r="D117" s="2874" t="s">
        <v>1364</v>
      </c>
      <c r="E117" s="2874" t="s">
        <v>1365</v>
      </c>
      <c r="F117" s="2875"/>
    </row>
    <row r="118" spans="1:6" s="2872" customFormat="1" ht="25.5">
      <c r="A118" s="3712"/>
      <c r="B118" s="2881" t="s">
        <v>1118</v>
      </c>
      <c r="C118" s="2882" t="s">
        <v>1362</v>
      </c>
      <c r="D118" s="2881"/>
      <c r="E118" s="2881"/>
      <c r="F118" s="2875"/>
    </row>
    <row r="119" spans="1:6" s="2872" customFormat="1">
      <c r="A119" s="3713"/>
      <c r="B119" s="2876"/>
      <c r="C119" s="2883" t="s">
        <v>1366</v>
      </c>
      <c r="D119" s="2876"/>
      <c r="E119" s="2876"/>
      <c r="F119" s="2878"/>
    </row>
    <row r="120" spans="1:6">
      <c r="A120" s="2839"/>
      <c r="B120" s="2839"/>
      <c r="C120" s="2840"/>
      <c r="D120" s="2839"/>
      <c r="E120" s="2839"/>
      <c r="F120" s="2841"/>
    </row>
    <row r="121" spans="1:6" s="2872" customFormat="1" ht="12.75" customHeight="1">
      <c r="A121" s="3711" t="s">
        <v>1350</v>
      </c>
      <c r="B121" s="2869"/>
      <c r="C121" s="2870"/>
      <c r="D121" s="2869"/>
      <c r="E121" s="2869"/>
      <c r="F121" s="2871" t="s">
        <v>1361</v>
      </c>
    </row>
    <row r="122" spans="1:6" s="2872" customFormat="1" ht="51">
      <c r="A122" s="3713"/>
      <c r="B122" s="2876" t="s">
        <v>1120</v>
      </c>
      <c r="C122" s="2883" t="s">
        <v>1367</v>
      </c>
      <c r="D122" s="2884" t="s">
        <v>1364</v>
      </c>
      <c r="E122" s="2884" t="s">
        <v>1365</v>
      </c>
      <c r="F122" s="2878"/>
    </row>
    <row r="123" spans="1:6">
      <c r="A123" s="2839"/>
      <c r="B123" s="2839"/>
      <c r="C123" s="2840"/>
      <c r="D123" s="2839"/>
      <c r="E123" s="2839"/>
      <c r="F123" s="2841"/>
    </row>
    <row r="124" spans="1:6">
      <c r="A124" s="3711" t="s">
        <v>1351</v>
      </c>
      <c r="B124" s="2868"/>
      <c r="C124" s="2862"/>
      <c r="D124" s="2829"/>
      <c r="E124" s="3720" t="s">
        <v>464</v>
      </c>
      <c r="F124" s="2855" t="s">
        <v>1434</v>
      </c>
    </row>
    <row r="125" spans="1:6" ht="76.5">
      <c r="A125" s="3712"/>
      <c r="B125" s="2885" t="s">
        <v>67</v>
      </c>
      <c r="C125" s="2886" t="s">
        <v>465</v>
      </c>
      <c r="D125" s="2833" t="s">
        <v>448</v>
      </c>
      <c r="E125" s="3721"/>
      <c r="F125" s="2853" t="s">
        <v>183</v>
      </c>
    </row>
    <row r="126" spans="1:6" ht="25.5">
      <c r="A126" s="3712"/>
      <c r="B126" s="2859" t="s">
        <v>68</v>
      </c>
      <c r="C126" s="2849"/>
      <c r="D126" s="2833" t="s">
        <v>448</v>
      </c>
      <c r="E126" s="3721"/>
      <c r="F126" s="2856"/>
    </row>
    <row r="127" spans="1:6" ht="25.5">
      <c r="A127" s="3712"/>
      <c r="B127" s="2859" t="s">
        <v>69</v>
      </c>
      <c r="C127" s="2849"/>
      <c r="D127" s="2833" t="s">
        <v>448</v>
      </c>
      <c r="E127" s="3721"/>
      <c r="F127" s="2856"/>
    </row>
    <row r="128" spans="1:6" ht="25.5">
      <c r="A128" s="3712"/>
      <c r="B128" s="2859" t="s">
        <v>70</v>
      </c>
      <c r="C128" s="2849"/>
      <c r="D128" s="2833" t="s">
        <v>448</v>
      </c>
      <c r="E128" s="3721"/>
      <c r="F128" s="2856"/>
    </row>
    <row r="129" spans="1:6" ht="76.5">
      <c r="A129" s="3712"/>
      <c r="B129" s="2885" t="s">
        <v>71</v>
      </c>
      <c r="C129" s="2886" t="s">
        <v>466</v>
      </c>
      <c r="D129" s="2833" t="s">
        <v>448</v>
      </c>
      <c r="E129" s="3721"/>
      <c r="F129" s="2853" t="s">
        <v>184</v>
      </c>
    </row>
    <row r="130" spans="1:6" ht="25.5">
      <c r="A130" s="3712"/>
      <c r="B130" s="2887" t="s">
        <v>72</v>
      </c>
      <c r="C130" s="2849"/>
      <c r="D130" s="2833" t="s">
        <v>448</v>
      </c>
      <c r="E130" s="3721"/>
      <c r="F130" s="2853" t="s">
        <v>185</v>
      </c>
    </row>
    <row r="131" spans="1:6" ht="25.5">
      <c r="A131" s="3712"/>
      <c r="B131" s="2859" t="s">
        <v>38</v>
      </c>
      <c r="C131" s="2859"/>
      <c r="D131" s="2833" t="s">
        <v>448</v>
      </c>
      <c r="E131" s="3721"/>
      <c r="F131" s="2864"/>
    </row>
    <row r="132" spans="1:6" ht="25.5">
      <c r="A132" s="3712"/>
      <c r="B132" s="2859" t="s">
        <v>73</v>
      </c>
      <c r="C132" s="2831"/>
      <c r="D132" s="2833" t="s">
        <v>448</v>
      </c>
      <c r="E132" s="3721"/>
      <c r="F132" s="2846"/>
    </row>
    <row r="133" spans="1:6" ht="25.5">
      <c r="A133" s="3712"/>
      <c r="B133" s="2859" t="s">
        <v>74</v>
      </c>
      <c r="C133" s="2831"/>
      <c r="D133" s="2833" t="s">
        <v>448</v>
      </c>
      <c r="E133" s="3721"/>
      <c r="F133" s="2864"/>
    </row>
    <row r="134" spans="1:6" ht="25.5">
      <c r="A134" s="3712"/>
      <c r="B134" s="2859" t="s">
        <v>75</v>
      </c>
      <c r="C134" s="2831"/>
      <c r="D134" s="2833" t="s">
        <v>448</v>
      </c>
      <c r="E134" s="3721"/>
      <c r="F134" s="2834"/>
    </row>
    <row r="135" spans="1:6" ht="25.5">
      <c r="A135" s="3712"/>
      <c r="B135" s="2887" t="s">
        <v>76</v>
      </c>
      <c r="C135" s="2852"/>
      <c r="D135" s="2833" t="s">
        <v>448</v>
      </c>
      <c r="E135" s="3721"/>
      <c r="F135" s="2845" t="s">
        <v>186</v>
      </c>
    </row>
    <row r="136" spans="1:6" ht="25.5">
      <c r="A136" s="3712"/>
      <c r="B136" s="2859" t="s">
        <v>77</v>
      </c>
      <c r="C136" s="2852"/>
      <c r="D136" s="2833" t="s">
        <v>448</v>
      </c>
      <c r="E136" s="3721"/>
      <c r="F136" s="2846"/>
    </row>
    <row r="137" spans="1:6" ht="25.5">
      <c r="A137" s="3712"/>
      <c r="B137" s="2859" t="s">
        <v>78</v>
      </c>
      <c r="C137" s="2852"/>
      <c r="D137" s="2833" t="s">
        <v>448</v>
      </c>
      <c r="E137" s="3721"/>
      <c r="F137" s="2846"/>
    </row>
    <row r="138" spans="1:6" ht="25.5">
      <c r="A138" s="3712"/>
      <c r="B138" s="2859" t="s">
        <v>79</v>
      </c>
      <c r="C138" s="2852"/>
      <c r="D138" s="2833" t="s">
        <v>448</v>
      </c>
      <c r="E138" s="3721"/>
      <c r="F138" s="2846"/>
    </row>
    <row r="139" spans="1:6" ht="25.5">
      <c r="A139" s="3712"/>
      <c r="B139" s="2859" t="s">
        <v>80</v>
      </c>
      <c r="C139" s="2852"/>
      <c r="D139" s="2833" t="s">
        <v>448</v>
      </c>
      <c r="E139" s="3721"/>
      <c r="F139" s="2846"/>
    </row>
    <row r="140" spans="1:6" ht="25.5">
      <c r="A140" s="3713"/>
      <c r="B140" s="2847" t="s">
        <v>81</v>
      </c>
      <c r="C140" s="2888"/>
      <c r="D140" s="2837" t="s">
        <v>448</v>
      </c>
      <c r="E140" s="3722"/>
      <c r="F140" s="2889"/>
    </row>
    <row r="141" spans="1:6">
      <c r="A141" s="2839"/>
      <c r="B141" s="2839"/>
      <c r="C141" s="2840"/>
      <c r="D141" s="2839"/>
      <c r="E141" s="2839"/>
      <c r="F141" s="2841"/>
    </row>
    <row r="142" spans="1:6">
      <c r="A142" s="3711" t="s">
        <v>1355</v>
      </c>
      <c r="B142" s="2861"/>
      <c r="C142" s="2842"/>
      <c r="D142" s="2861"/>
      <c r="E142" s="3717" t="s">
        <v>467</v>
      </c>
      <c r="F142" s="2843" t="s">
        <v>1435</v>
      </c>
    </row>
    <row r="143" spans="1:6" ht="38.25">
      <c r="A143" s="3712"/>
      <c r="B143" s="2859" t="s">
        <v>82</v>
      </c>
      <c r="C143" s="2832" t="s">
        <v>469</v>
      </c>
      <c r="D143" s="2833" t="s">
        <v>468</v>
      </c>
      <c r="E143" s="3718"/>
      <c r="F143" s="2846"/>
    </row>
    <row r="144" spans="1:6" ht="38.25">
      <c r="A144" s="3713"/>
      <c r="B144" s="2847" t="s">
        <v>83</v>
      </c>
      <c r="C144" s="2836" t="s">
        <v>470</v>
      </c>
      <c r="D144" s="2837" t="s">
        <v>468</v>
      </c>
      <c r="E144" s="3719"/>
      <c r="F144" s="2857"/>
    </row>
    <row r="145" spans="1:6">
      <c r="A145" s="2890"/>
      <c r="B145" s="2839"/>
      <c r="C145" s="2840"/>
      <c r="D145" s="2839"/>
      <c r="E145" s="2839"/>
      <c r="F145" s="2841"/>
    </row>
    <row r="146" spans="1:6">
      <c r="A146" s="3711" t="s">
        <v>1354</v>
      </c>
      <c r="B146" s="2868"/>
      <c r="C146" s="2862"/>
      <c r="D146" s="2829"/>
      <c r="E146" s="3717" t="s">
        <v>471</v>
      </c>
      <c r="F146" s="2843" t="s">
        <v>1436</v>
      </c>
    </row>
    <row r="147" spans="1:6" ht="38.25">
      <c r="A147" s="3712"/>
      <c r="B147" s="2859" t="s">
        <v>84</v>
      </c>
      <c r="C147" s="2832" t="s">
        <v>472</v>
      </c>
      <c r="D147" s="2833" t="s">
        <v>468</v>
      </c>
      <c r="E147" s="3718"/>
      <c r="F147" s="2834"/>
    </row>
    <row r="148" spans="1:6" ht="38.25">
      <c r="A148" s="3713"/>
      <c r="B148" s="2847" t="s">
        <v>85</v>
      </c>
      <c r="C148" s="2836" t="s">
        <v>473</v>
      </c>
      <c r="D148" s="2837" t="s">
        <v>468</v>
      </c>
      <c r="E148" s="3719"/>
      <c r="F148" s="2857"/>
    </row>
    <row r="149" spans="1:6">
      <c r="A149" s="2890"/>
      <c r="B149" s="2839"/>
      <c r="C149" s="2840"/>
      <c r="D149" s="2839"/>
      <c r="E149" s="2839"/>
      <c r="F149" s="2841"/>
    </row>
    <row r="150" spans="1:6">
      <c r="A150" s="3714" t="s">
        <v>1352</v>
      </c>
      <c r="B150" s="2861"/>
      <c r="C150" s="2842"/>
      <c r="D150" s="2861"/>
      <c r="E150" s="3717" t="s">
        <v>474</v>
      </c>
      <c r="F150" s="2843" t="s">
        <v>187</v>
      </c>
    </row>
    <row r="151" spans="1:6" ht="38.25">
      <c r="A151" s="3715"/>
      <c r="B151" s="2859" t="s">
        <v>86</v>
      </c>
      <c r="C151" s="2854" t="s">
        <v>943</v>
      </c>
      <c r="D151" s="2891" t="s">
        <v>475</v>
      </c>
      <c r="E151" s="3718"/>
      <c r="F151" s="2864"/>
    </row>
    <row r="152" spans="1:6" ht="25.5">
      <c r="A152" s="3716"/>
      <c r="B152" s="2835" t="s">
        <v>87</v>
      </c>
      <c r="C152" s="2892" t="s">
        <v>476</v>
      </c>
      <c r="D152" s="2893" t="s">
        <v>189</v>
      </c>
      <c r="E152" s="3719"/>
      <c r="F152" s="2857"/>
    </row>
    <row r="153" spans="1:6">
      <c r="A153" s="2890"/>
      <c r="B153" s="2839"/>
      <c r="C153" s="2840"/>
      <c r="D153" s="2839"/>
      <c r="E153" s="2839"/>
      <c r="F153" s="2841"/>
    </row>
    <row r="154" spans="1:6">
      <c r="A154" s="3714" t="s">
        <v>1353</v>
      </c>
      <c r="B154" s="2861"/>
      <c r="C154" s="2842"/>
      <c r="D154" s="2861"/>
      <c r="E154" s="3717" t="s">
        <v>474</v>
      </c>
      <c r="F154" s="2843" t="s">
        <v>190</v>
      </c>
    </row>
    <row r="155" spans="1:6" ht="38.25">
      <c r="A155" s="3715"/>
      <c r="B155" s="2859" t="s">
        <v>88</v>
      </c>
      <c r="C155" s="2854" t="s">
        <v>944</v>
      </c>
      <c r="D155" s="2891" t="s">
        <v>188</v>
      </c>
      <c r="E155" s="3718"/>
      <c r="F155" s="2864"/>
    </row>
    <row r="156" spans="1:6" ht="25.5">
      <c r="A156" s="3716"/>
      <c r="B156" s="2847" t="s">
        <v>89</v>
      </c>
      <c r="C156" s="2892" t="s">
        <v>477</v>
      </c>
      <c r="D156" s="2893" t="s">
        <v>189</v>
      </c>
      <c r="E156" s="3719"/>
      <c r="F156" s="2857"/>
    </row>
    <row r="157" spans="1:6">
      <c r="A157" s="2894"/>
      <c r="B157" s="2894"/>
      <c r="C157" s="2895"/>
      <c r="D157" s="2894"/>
      <c r="E157" s="2894"/>
      <c r="F157" s="2896"/>
    </row>
    <row r="158" spans="1:6">
      <c r="A158" s="2897"/>
      <c r="B158" s="2897"/>
      <c r="C158" s="2897"/>
      <c r="D158" s="2897"/>
      <c r="E158" s="2897"/>
      <c r="F158" s="2898"/>
    </row>
    <row r="159" spans="1:6">
      <c r="A159" s="2897"/>
      <c r="B159" s="2897"/>
      <c r="C159" s="2897"/>
      <c r="D159" s="2897"/>
      <c r="E159" s="2897"/>
      <c r="F159" s="2898"/>
    </row>
    <row r="160" spans="1:6">
      <c r="A160" s="2897"/>
      <c r="B160" s="2897"/>
      <c r="C160" s="2897"/>
      <c r="D160" s="2897"/>
      <c r="E160" s="2897"/>
      <c r="F160" s="2898"/>
    </row>
    <row r="161" spans="1:6">
      <c r="A161" s="2897"/>
      <c r="B161" s="2897"/>
      <c r="C161" s="2897"/>
      <c r="D161" s="2897"/>
      <c r="E161" s="2897"/>
      <c r="F161" s="2898"/>
    </row>
    <row r="162" spans="1:6">
      <c r="A162" s="2897"/>
      <c r="B162" s="2897"/>
      <c r="C162" s="2897"/>
      <c r="D162" s="2897"/>
      <c r="E162" s="2897"/>
      <c r="F162" s="2898"/>
    </row>
    <row r="163" spans="1:6">
      <c r="A163" s="2897"/>
      <c r="B163" s="2897"/>
      <c r="C163" s="2897"/>
      <c r="D163" s="2897"/>
      <c r="E163" s="2897"/>
      <c r="F163" s="2898"/>
    </row>
    <row r="164" spans="1:6">
      <c r="A164" s="2897"/>
      <c r="B164" s="2897"/>
      <c r="C164" s="2897"/>
      <c r="D164" s="2897"/>
      <c r="E164" s="2897"/>
      <c r="F164" s="2898"/>
    </row>
    <row r="165" spans="1:6">
      <c r="A165" s="2897"/>
      <c r="B165" s="2897"/>
      <c r="C165" s="2897"/>
      <c r="D165" s="2897"/>
      <c r="E165" s="2897"/>
      <c r="F165" s="2898"/>
    </row>
    <row r="166" spans="1:6">
      <c r="A166" s="2897"/>
      <c r="B166" s="2897"/>
      <c r="C166" s="2897"/>
      <c r="D166" s="2897"/>
      <c r="E166" s="2897"/>
      <c r="F166" s="2898"/>
    </row>
    <row r="167" spans="1:6">
      <c r="A167" s="2897"/>
      <c r="B167" s="2897"/>
      <c r="C167" s="2897"/>
      <c r="D167" s="2897"/>
      <c r="E167" s="2897"/>
      <c r="F167" s="2898"/>
    </row>
    <row r="168" spans="1:6">
      <c r="A168" s="2897"/>
      <c r="B168" s="2897"/>
      <c r="C168" s="2897"/>
      <c r="D168" s="2897"/>
      <c r="E168" s="2897"/>
      <c r="F168" s="2898"/>
    </row>
    <row r="169" spans="1:6">
      <c r="A169" s="2897"/>
      <c r="B169" s="2897"/>
      <c r="C169" s="2897"/>
      <c r="D169" s="2897"/>
      <c r="E169" s="2897"/>
      <c r="F169" s="2898"/>
    </row>
    <row r="170" spans="1:6">
      <c r="F170" s="2899"/>
    </row>
    <row r="171" spans="1:6">
      <c r="F171" s="2899"/>
    </row>
    <row r="172" spans="1:6">
      <c r="F172" s="2899"/>
    </row>
    <row r="173" spans="1:6">
      <c r="F173" s="2899"/>
    </row>
    <row r="174" spans="1:6">
      <c r="F174" s="2899"/>
    </row>
    <row r="175" spans="1:6">
      <c r="F175" s="2899"/>
    </row>
    <row r="176" spans="1:6">
      <c r="F176" s="2899"/>
    </row>
    <row r="177" spans="6:6">
      <c r="F177" s="2899"/>
    </row>
    <row r="178" spans="6:6">
      <c r="F178" s="2899"/>
    </row>
    <row r="179" spans="6:6">
      <c r="F179" s="2899"/>
    </row>
    <row r="180" spans="6:6">
      <c r="F180" s="2899"/>
    </row>
    <row r="181" spans="6:6">
      <c r="F181" s="2899"/>
    </row>
    <row r="182" spans="6:6">
      <c r="F182" s="2899"/>
    </row>
    <row r="183" spans="6:6">
      <c r="F183" s="2899"/>
    </row>
    <row r="184" spans="6:6">
      <c r="F184" s="2899"/>
    </row>
    <row r="185" spans="6:6">
      <c r="F185" s="2899"/>
    </row>
    <row r="186" spans="6:6">
      <c r="F186" s="2899"/>
    </row>
    <row r="187" spans="6:6">
      <c r="F187" s="2899"/>
    </row>
    <row r="188" spans="6:6">
      <c r="F188" s="2899"/>
    </row>
    <row r="189" spans="6:6">
      <c r="F189" s="2899"/>
    </row>
    <row r="190" spans="6:6">
      <c r="F190" s="2899"/>
    </row>
    <row r="191" spans="6:6">
      <c r="F191" s="2899"/>
    </row>
    <row r="192" spans="6:6">
      <c r="F192" s="2899"/>
    </row>
    <row r="193" spans="6:6">
      <c r="F193" s="2899"/>
    </row>
    <row r="194" spans="6:6">
      <c r="F194" s="2899"/>
    </row>
    <row r="195" spans="6:6">
      <c r="F195" s="2899"/>
    </row>
    <row r="196" spans="6:6">
      <c r="F196" s="2899"/>
    </row>
    <row r="197" spans="6:6">
      <c r="F197" s="2899"/>
    </row>
    <row r="198" spans="6:6">
      <c r="F198" s="2899"/>
    </row>
    <row r="199" spans="6:6">
      <c r="F199" s="2899"/>
    </row>
    <row r="200" spans="6:6">
      <c r="F200" s="2899"/>
    </row>
    <row r="201" spans="6:6">
      <c r="F201" s="2899"/>
    </row>
    <row r="202" spans="6:6">
      <c r="F202" s="2899"/>
    </row>
    <row r="203" spans="6:6">
      <c r="F203" s="2899"/>
    </row>
    <row r="204" spans="6:6">
      <c r="F204" s="2899"/>
    </row>
    <row r="205" spans="6:6">
      <c r="F205" s="2899"/>
    </row>
    <row r="206" spans="6:6">
      <c r="F206" s="2899"/>
    </row>
    <row r="207" spans="6:6">
      <c r="F207" s="2899"/>
    </row>
    <row r="208" spans="6:6">
      <c r="F208" s="2899"/>
    </row>
    <row r="209" spans="6:6">
      <c r="F209" s="2899"/>
    </row>
    <row r="210" spans="6:6">
      <c r="F210" s="2899"/>
    </row>
    <row r="211" spans="6:6">
      <c r="F211" s="2899"/>
    </row>
    <row r="212" spans="6:6">
      <c r="F212" s="2899"/>
    </row>
    <row r="213" spans="6:6">
      <c r="F213" s="2899"/>
    </row>
    <row r="214" spans="6:6">
      <c r="F214" s="2899"/>
    </row>
    <row r="215" spans="6:6">
      <c r="F215" s="2899"/>
    </row>
    <row r="216" spans="6:6">
      <c r="F216" s="2899"/>
    </row>
    <row r="217" spans="6:6">
      <c r="F217" s="2899"/>
    </row>
    <row r="218" spans="6:6">
      <c r="F218" s="2899"/>
    </row>
    <row r="219" spans="6:6">
      <c r="F219" s="2899"/>
    </row>
    <row r="220" spans="6:6">
      <c r="F220" s="2899"/>
    </row>
    <row r="221" spans="6:6">
      <c r="F221" s="2899"/>
    </row>
    <row r="222" spans="6:6">
      <c r="F222" s="2899"/>
    </row>
    <row r="223" spans="6:6">
      <c r="F223" s="2899"/>
    </row>
    <row r="224" spans="6:6">
      <c r="F224" s="2899"/>
    </row>
    <row r="225" spans="6:6">
      <c r="F225" s="2899"/>
    </row>
    <row r="226" spans="6:6">
      <c r="F226" s="2899"/>
    </row>
    <row r="227" spans="6:6">
      <c r="F227" s="2899"/>
    </row>
    <row r="228" spans="6:6">
      <c r="F228" s="2899"/>
    </row>
    <row r="229" spans="6:6">
      <c r="F229" s="2899"/>
    </row>
    <row r="230" spans="6:6">
      <c r="F230" s="2899"/>
    </row>
    <row r="231" spans="6:6">
      <c r="F231" s="2899"/>
    </row>
    <row r="232" spans="6:6">
      <c r="F232" s="2899"/>
    </row>
    <row r="233" spans="6:6">
      <c r="F233" s="2899"/>
    </row>
    <row r="234" spans="6:6">
      <c r="F234" s="2899"/>
    </row>
    <row r="235" spans="6:6">
      <c r="F235" s="2899"/>
    </row>
    <row r="236" spans="6:6">
      <c r="F236" s="2899"/>
    </row>
    <row r="237" spans="6:6">
      <c r="F237" s="2899"/>
    </row>
    <row r="238" spans="6:6">
      <c r="F238" s="2899"/>
    </row>
    <row r="239" spans="6:6">
      <c r="F239" s="2899"/>
    </row>
    <row r="240" spans="6:6">
      <c r="F240" s="2899"/>
    </row>
    <row r="241" spans="6:6">
      <c r="F241" s="2899"/>
    </row>
    <row r="242" spans="6:6">
      <c r="F242" s="2899"/>
    </row>
    <row r="243" spans="6:6">
      <c r="F243" s="2899"/>
    </row>
    <row r="244" spans="6:6">
      <c r="F244" s="2899"/>
    </row>
    <row r="245" spans="6:6">
      <c r="F245" s="2899"/>
    </row>
    <row r="246" spans="6:6">
      <c r="F246" s="2899"/>
    </row>
    <row r="247" spans="6:6">
      <c r="F247" s="2899"/>
    </row>
    <row r="248" spans="6:6">
      <c r="F248" s="2899"/>
    </row>
    <row r="249" spans="6:6">
      <c r="F249" s="2899"/>
    </row>
    <row r="250" spans="6:6">
      <c r="F250" s="2899"/>
    </row>
    <row r="251" spans="6:6">
      <c r="F251" s="2899"/>
    </row>
    <row r="252" spans="6:6">
      <c r="F252" s="2899"/>
    </row>
    <row r="253" spans="6:6">
      <c r="F253" s="2899"/>
    </row>
    <row r="254" spans="6:6">
      <c r="F254" s="2899"/>
    </row>
    <row r="255" spans="6:6">
      <c r="F255" s="2899"/>
    </row>
    <row r="256" spans="6:6">
      <c r="F256" s="2899"/>
    </row>
    <row r="257" spans="6:6">
      <c r="F257" s="2899"/>
    </row>
    <row r="258" spans="6:6">
      <c r="F258" s="2899"/>
    </row>
    <row r="259" spans="6:6">
      <c r="F259" s="2899"/>
    </row>
    <row r="260" spans="6:6">
      <c r="F260" s="2899"/>
    </row>
    <row r="261" spans="6:6">
      <c r="F261" s="2899"/>
    </row>
    <row r="262" spans="6:6">
      <c r="F262" s="2899"/>
    </row>
    <row r="263" spans="6:6">
      <c r="F263" s="2899"/>
    </row>
    <row r="264" spans="6:6">
      <c r="F264" s="2899"/>
    </row>
    <row r="265" spans="6:6">
      <c r="F265" s="2899"/>
    </row>
    <row r="266" spans="6:6">
      <c r="F266" s="2899"/>
    </row>
    <row r="267" spans="6:6">
      <c r="F267" s="2899"/>
    </row>
    <row r="268" spans="6:6">
      <c r="F268" s="2899"/>
    </row>
    <row r="269" spans="6:6">
      <c r="F269" s="2899"/>
    </row>
    <row r="270" spans="6:6">
      <c r="F270" s="2899"/>
    </row>
    <row r="271" spans="6:6">
      <c r="F271" s="2899"/>
    </row>
    <row r="272" spans="6:6">
      <c r="F272" s="2899"/>
    </row>
    <row r="273" spans="6:6">
      <c r="F273" s="2899"/>
    </row>
    <row r="274" spans="6:6">
      <c r="F274" s="2899"/>
    </row>
    <row r="275" spans="6:6">
      <c r="F275" s="2899"/>
    </row>
    <row r="276" spans="6:6">
      <c r="F276" s="2899"/>
    </row>
    <row r="277" spans="6:6">
      <c r="F277" s="2899"/>
    </row>
    <row r="278" spans="6:6">
      <c r="F278" s="2899"/>
    </row>
    <row r="279" spans="6:6">
      <c r="F279" s="2899"/>
    </row>
    <row r="280" spans="6:6">
      <c r="F280" s="2899"/>
    </row>
    <row r="281" spans="6:6">
      <c r="F281" s="2899"/>
    </row>
    <row r="282" spans="6:6">
      <c r="F282" s="2899"/>
    </row>
    <row r="283" spans="6:6">
      <c r="F283" s="2899"/>
    </row>
    <row r="284" spans="6:6">
      <c r="F284" s="2899"/>
    </row>
    <row r="285" spans="6:6">
      <c r="F285" s="2899"/>
    </row>
    <row r="286" spans="6:6">
      <c r="F286" s="2899"/>
    </row>
    <row r="287" spans="6:6">
      <c r="F287" s="2899"/>
    </row>
    <row r="288" spans="6:6">
      <c r="F288" s="2899"/>
    </row>
    <row r="289" spans="6:6">
      <c r="F289" s="2899"/>
    </row>
    <row r="290" spans="6:6">
      <c r="F290" s="2899"/>
    </row>
    <row r="291" spans="6:6">
      <c r="F291" s="2899"/>
    </row>
    <row r="292" spans="6:6">
      <c r="F292" s="2899"/>
    </row>
    <row r="293" spans="6:6">
      <c r="F293" s="2899"/>
    </row>
    <row r="294" spans="6:6">
      <c r="F294" s="2899"/>
    </row>
    <row r="295" spans="6:6">
      <c r="F295" s="2899"/>
    </row>
    <row r="296" spans="6:6">
      <c r="F296" s="2899"/>
    </row>
    <row r="297" spans="6:6">
      <c r="F297" s="2899"/>
    </row>
    <row r="298" spans="6:6">
      <c r="F298" s="2899"/>
    </row>
    <row r="299" spans="6:6">
      <c r="F299" s="2899"/>
    </row>
    <row r="300" spans="6:6">
      <c r="F300" s="2899"/>
    </row>
    <row r="301" spans="6:6">
      <c r="F301" s="2899"/>
    </row>
    <row r="302" spans="6:6">
      <c r="F302" s="2899"/>
    </row>
    <row r="303" spans="6:6">
      <c r="F303" s="2899"/>
    </row>
    <row r="304" spans="6:6">
      <c r="F304" s="2899"/>
    </row>
    <row r="305" spans="6:6">
      <c r="F305" s="2899"/>
    </row>
    <row r="306" spans="6:6">
      <c r="F306" s="2899"/>
    </row>
    <row r="307" spans="6:6">
      <c r="F307" s="2899"/>
    </row>
    <row r="308" spans="6:6">
      <c r="F308" s="2899"/>
    </row>
  </sheetData>
  <sheetProtection password="C6DB" sheet="1" objects="1" scenarios="1"/>
  <autoFilter ref="A2:F157"/>
  <mergeCells count="56">
    <mergeCell ref="E43:E46"/>
    <mergeCell ref="E3:E5"/>
    <mergeCell ref="E7:E17"/>
    <mergeCell ref="E19:E29"/>
    <mergeCell ref="E31:E33"/>
    <mergeCell ref="E35:E41"/>
    <mergeCell ref="E99:E101"/>
    <mergeCell ref="E49:E51"/>
    <mergeCell ref="E53:E55"/>
    <mergeCell ref="E57:E59"/>
    <mergeCell ref="E61:E63"/>
    <mergeCell ref="E65:E67"/>
    <mergeCell ref="E69:E73"/>
    <mergeCell ref="E75:E77"/>
    <mergeCell ref="E79:E81"/>
    <mergeCell ref="E83:E85"/>
    <mergeCell ref="E87:E89"/>
    <mergeCell ref="E91:E93"/>
    <mergeCell ref="E96:E97"/>
    <mergeCell ref="E150:E152"/>
    <mergeCell ref="E154:E156"/>
    <mergeCell ref="E103:E105"/>
    <mergeCell ref="E107:E109"/>
    <mergeCell ref="E111:E114"/>
    <mergeCell ref="E124:E140"/>
    <mergeCell ref="E142:E144"/>
    <mergeCell ref="E146:E148"/>
    <mergeCell ref="A3:A5"/>
    <mergeCell ref="A7:A17"/>
    <mergeCell ref="A19:A29"/>
    <mergeCell ref="A31:A33"/>
    <mergeCell ref="A35:A41"/>
    <mergeCell ref="A43:A47"/>
    <mergeCell ref="A49:A51"/>
    <mergeCell ref="A53:A55"/>
    <mergeCell ref="A57:A59"/>
    <mergeCell ref="A61:A63"/>
    <mergeCell ref="A65:A67"/>
    <mergeCell ref="A69:A73"/>
    <mergeCell ref="A75:A77"/>
    <mergeCell ref="A79:A81"/>
    <mergeCell ref="A83:A85"/>
    <mergeCell ref="A107:A109"/>
    <mergeCell ref="A111:A114"/>
    <mergeCell ref="A121:A122"/>
    <mergeCell ref="A116:A119"/>
    <mergeCell ref="A87:A89"/>
    <mergeCell ref="A91:A93"/>
    <mergeCell ref="A95:A97"/>
    <mergeCell ref="A99:A101"/>
    <mergeCell ref="A103:A105"/>
    <mergeCell ref="A124:A140"/>
    <mergeCell ref="A154:A156"/>
    <mergeCell ref="A150:A152"/>
    <mergeCell ref="A146:A148"/>
    <mergeCell ref="A142:A144"/>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6"/>
  </sheetPr>
  <dimension ref="A1:T125"/>
  <sheetViews>
    <sheetView showGridLines="0" view="pageBreakPreview" zoomScale="80" zoomScaleNormal="80" zoomScaleSheetLayoutView="80" workbookViewId="0">
      <pane xSplit="4" ySplit="7" topLeftCell="E23" activePane="bottomRight" state="frozen"/>
      <selection pane="topRight" activeCell="E1" sqref="E1"/>
      <selection pane="bottomLeft" activeCell="A8" sqref="A8"/>
      <selection pane="bottomRight" activeCell="I93" sqref="I93"/>
    </sheetView>
  </sheetViews>
  <sheetFormatPr defaultRowHeight="12.75"/>
  <cols>
    <col min="1" max="1" width="16" style="1" customWidth="1"/>
    <col min="2" max="2" width="9.140625" style="1" customWidth="1"/>
    <col min="3" max="3" width="67.140625" style="1" customWidth="1"/>
    <col min="4" max="4" width="12.7109375" style="2584" customWidth="1"/>
    <col min="5" max="5" width="11.42578125" style="2584" customWidth="1"/>
    <col min="6" max="6" width="12.140625" style="2584" bestFit="1" customWidth="1"/>
    <col min="7" max="7" width="11.5703125" style="2584" customWidth="1"/>
    <col min="8" max="8" width="12.42578125" style="2584" customWidth="1"/>
    <col min="9" max="9" width="12.5703125" style="2584" customWidth="1"/>
    <col min="10" max="10" width="11.42578125" style="2584" customWidth="1"/>
    <col min="11" max="11" width="12.28515625" style="2584" customWidth="1"/>
    <col min="12" max="12" width="8.28515625" style="2584" customWidth="1"/>
    <col min="13" max="18" width="7.28515625" style="2586" customWidth="1"/>
    <col min="19" max="19" width="16.140625" style="2584" customWidth="1"/>
    <col min="20" max="20" width="17.5703125" style="2584" customWidth="1"/>
    <col min="21" max="16384" width="9.140625" style="1"/>
  </cols>
  <sheetData>
    <row r="1" spans="1:20" ht="18.75" customHeight="1">
      <c r="E1" s="3376"/>
      <c r="F1" s="3376"/>
      <c r="H1" s="2585"/>
      <c r="I1" s="2585"/>
      <c r="J1" s="2585"/>
      <c r="R1" s="2587" t="s">
        <v>0</v>
      </c>
    </row>
    <row r="2" spans="1:20" s="674" customFormat="1" ht="36.75" customHeight="1">
      <c r="A2" s="3372" t="s">
        <v>497</v>
      </c>
      <c r="B2" s="3372"/>
      <c r="C2" s="3372"/>
      <c r="D2" s="3372"/>
      <c r="E2" s="3372"/>
      <c r="F2" s="3372"/>
      <c r="G2" s="3372"/>
      <c r="H2" s="3372"/>
      <c r="I2" s="3372"/>
      <c r="J2" s="3372"/>
      <c r="K2" s="3372"/>
      <c r="L2" s="3372"/>
      <c r="M2" s="3372"/>
      <c r="N2" s="3372"/>
      <c r="O2" s="3372"/>
      <c r="P2" s="3372"/>
      <c r="Q2" s="3372"/>
      <c r="R2" s="3372"/>
      <c r="S2" s="2588"/>
      <c r="T2" s="2588"/>
    </row>
    <row r="3" spans="1:20" s="675" customFormat="1" ht="22.5" customHeight="1">
      <c r="A3" s="3373" t="str">
        <f>'1. Анкетна карта'!A3:J3</f>
        <v>на "Водоснабдяване и канализация" ЕООД , гр. Благоевград</v>
      </c>
      <c r="B3" s="3373"/>
      <c r="C3" s="3373"/>
      <c r="D3" s="3373"/>
      <c r="E3" s="3373"/>
      <c r="F3" s="3373"/>
      <c r="G3" s="3373"/>
      <c r="H3" s="3373"/>
      <c r="I3" s="3373"/>
      <c r="J3" s="3373"/>
      <c r="K3" s="3373"/>
      <c r="L3" s="3373"/>
      <c r="M3" s="3373"/>
      <c r="N3" s="3373"/>
      <c r="O3" s="3373"/>
      <c r="P3" s="3373"/>
      <c r="Q3" s="3373"/>
      <c r="R3" s="3373"/>
      <c r="S3" s="2589"/>
      <c r="T3" s="2589"/>
    </row>
    <row r="4" spans="1:20" s="673" customFormat="1" ht="35.25" customHeight="1">
      <c r="A4" s="3371" t="str">
        <f>'1. Анкетна карта'!A4:J4</f>
        <v>ЕИК по БУЛСТАТ: 811047831</v>
      </c>
      <c r="B4" s="3371"/>
      <c r="C4" s="3371"/>
      <c r="D4" s="3371"/>
      <c r="E4" s="3371"/>
      <c r="F4" s="3371"/>
      <c r="G4" s="3371"/>
      <c r="H4" s="3371"/>
      <c r="I4" s="3371"/>
      <c r="J4" s="3371"/>
      <c r="K4" s="3371"/>
      <c r="L4" s="3371"/>
      <c r="M4" s="3371"/>
      <c r="N4" s="3371"/>
      <c r="O4" s="3371"/>
      <c r="P4" s="3371"/>
      <c r="Q4" s="3371"/>
      <c r="R4" s="3371"/>
      <c r="S4" s="2586"/>
      <c r="T4" s="2586"/>
    </row>
    <row r="5" spans="1:20" s="673" customFormat="1" ht="7.5" customHeight="1" thickBot="1">
      <c r="B5" s="683"/>
      <c r="C5" s="683"/>
      <c r="D5" s="2535"/>
      <c r="E5" s="2535"/>
      <c r="F5" s="2535"/>
      <c r="G5" s="2535"/>
      <c r="H5" s="2535"/>
      <c r="I5" s="2535"/>
      <c r="J5" s="2535"/>
      <c r="K5" s="2535"/>
      <c r="L5" s="2535"/>
      <c r="M5" s="2535"/>
      <c r="N5" s="2535"/>
      <c r="O5" s="2535"/>
      <c r="P5" s="2535"/>
      <c r="Q5" s="2535"/>
      <c r="R5" s="2535"/>
      <c r="S5" s="2586"/>
      <c r="T5" s="2586"/>
    </row>
    <row r="6" spans="1:20" ht="45.75" customHeight="1" thickBot="1">
      <c r="A6" s="3374" t="s">
        <v>1123</v>
      </c>
      <c r="B6" s="3379" t="s">
        <v>1</v>
      </c>
      <c r="C6" s="3377" t="s">
        <v>2</v>
      </c>
      <c r="D6" s="3374" t="s">
        <v>1015</v>
      </c>
      <c r="E6" s="3368" t="s">
        <v>1227</v>
      </c>
      <c r="F6" s="3369"/>
      <c r="G6" s="3369"/>
      <c r="H6" s="3369"/>
      <c r="I6" s="3369"/>
      <c r="J6" s="3369"/>
      <c r="K6" s="3370"/>
      <c r="L6" s="3368" t="s">
        <v>1111</v>
      </c>
      <c r="M6" s="3369"/>
      <c r="N6" s="3369"/>
      <c r="O6" s="3369"/>
      <c r="P6" s="3369"/>
      <c r="Q6" s="3369"/>
      <c r="R6" s="3370"/>
      <c r="S6" s="3366" t="s">
        <v>1368</v>
      </c>
      <c r="T6" s="3367"/>
    </row>
    <row r="7" spans="1:20" ht="24.75" customHeight="1" thickBot="1">
      <c r="A7" s="3375"/>
      <c r="B7" s="3380"/>
      <c r="C7" s="3378"/>
      <c r="D7" s="3375"/>
      <c r="E7" s="2579" t="str">
        <f>'Приложение '!G12</f>
        <v>2015 г.</v>
      </c>
      <c r="F7" s="2580" t="str">
        <f>'Приложение '!G13</f>
        <v>2016 г.</v>
      </c>
      <c r="G7" s="2581" t="str">
        <f>'Приложение '!G14</f>
        <v>2017 г.</v>
      </c>
      <c r="H7" s="2581" t="str">
        <f>'Приложение '!G15</f>
        <v>2018 г.</v>
      </c>
      <c r="I7" s="2581" t="str">
        <f>'Приложение '!G16</f>
        <v>2019 г.</v>
      </c>
      <c r="J7" s="2581" t="str">
        <f>'Приложение '!G17</f>
        <v>2020 г.</v>
      </c>
      <c r="K7" s="2582" t="str">
        <f>'Приложение '!G18</f>
        <v>2021 г.</v>
      </c>
      <c r="L7" s="2579" t="str">
        <f>E7</f>
        <v>2015 г.</v>
      </c>
      <c r="M7" s="2580" t="str">
        <f t="shared" ref="M7:R7" si="0">F7</f>
        <v>2016 г.</v>
      </c>
      <c r="N7" s="2581" t="str">
        <f t="shared" si="0"/>
        <v>2017 г.</v>
      </c>
      <c r="O7" s="2581" t="str">
        <f t="shared" si="0"/>
        <v>2018 г.</v>
      </c>
      <c r="P7" s="2581" t="str">
        <f t="shared" si="0"/>
        <v>2019 г.</v>
      </c>
      <c r="Q7" s="2581" t="str">
        <f t="shared" si="0"/>
        <v>2020 г.</v>
      </c>
      <c r="R7" s="2583" t="str">
        <f t="shared" si="0"/>
        <v>2021 г.</v>
      </c>
      <c r="S7" s="2577" t="str">
        <f>L7</f>
        <v>2015 г.</v>
      </c>
      <c r="T7" s="2578" t="str">
        <f>R7</f>
        <v>2021 г.</v>
      </c>
    </row>
    <row r="8" spans="1:20" ht="38.25">
      <c r="A8" s="3381" t="s">
        <v>1124</v>
      </c>
      <c r="B8" s="711" t="s">
        <v>3</v>
      </c>
      <c r="C8" s="698" t="s">
        <v>1056</v>
      </c>
      <c r="D8" s="697" t="s">
        <v>1055</v>
      </c>
      <c r="E8" s="2590">
        <v>207386</v>
      </c>
      <c r="F8" s="1826">
        <v>206872</v>
      </c>
      <c r="G8" s="1827">
        <v>205362</v>
      </c>
      <c r="H8" s="1828">
        <v>204563</v>
      </c>
      <c r="I8" s="1828">
        <v>210186</v>
      </c>
      <c r="J8" s="1828">
        <v>257562</v>
      </c>
      <c r="K8" s="1829">
        <v>255379</v>
      </c>
      <c r="L8" s="730">
        <v>1</v>
      </c>
      <c r="M8" s="727">
        <v>1</v>
      </c>
      <c r="N8" s="689">
        <v>1</v>
      </c>
      <c r="O8" s="689">
        <v>1</v>
      </c>
      <c r="P8" s="689">
        <v>1</v>
      </c>
      <c r="Q8" s="689">
        <v>1</v>
      </c>
      <c r="R8" s="690">
        <v>1</v>
      </c>
      <c r="S8" s="1352" t="s">
        <v>1588</v>
      </c>
      <c r="T8" s="1353" t="s">
        <v>1588</v>
      </c>
    </row>
    <row r="9" spans="1:20" ht="38.25">
      <c r="A9" s="3382"/>
      <c r="B9" s="712" t="s">
        <v>40</v>
      </c>
      <c r="C9" s="699" t="s">
        <v>1090</v>
      </c>
      <c r="D9" s="687" t="s">
        <v>1055</v>
      </c>
      <c r="E9" s="2591">
        <v>165862</v>
      </c>
      <c r="F9" s="1830">
        <v>165499</v>
      </c>
      <c r="G9" s="1831">
        <v>164291</v>
      </c>
      <c r="H9" s="1832">
        <v>169922</v>
      </c>
      <c r="I9" s="1832">
        <v>179849</v>
      </c>
      <c r="J9" s="1832">
        <v>216977</v>
      </c>
      <c r="K9" s="1833">
        <v>215140</v>
      </c>
      <c r="L9" s="731">
        <v>1</v>
      </c>
      <c r="M9" s="728">
        <v>1</v>
      </c>
      <c r="N9" s="684">
        <v>1</v>
      </c>
      <c r="O9" s="684">
        <v>1</v>
      </c>
      <c r="P9" s="684">
        <v>1</v>
      </c>
      <c r="Q9" s="684">
        <v>1</v>
      </c>
      <c r="R9" s="691">
        <v>1</v>
      </c>
      <c r="S9" s="684" t="s">
        <v>1588</v>
      </c>
      <c r="T9" s="691" t="s">
        <v>1588</v>
      </c>
    </row>
    <row r="10" spans="1:20" ht="39" thickBot="1">
      <c r="A10" s="3382"/>
      <c r="B10" s="712" t="s">
        <v>41</v>
      </c>
      <c r="C10" s="699" t="s">
        <v>1091</v>
      </c>
      <c r="D10" s="687" t="s">
        <v>1055</v>
      </c>
      <c r="E10" s="2592">
        <v>89665</v>
      </c>
      <c r="F10" s="1834">
        <v>89279</v>
      </c>
      <c r="G10" s="1832">
        <v>88627</v>
      </c>
      <c r="H10" s="1832">
        <v>92980</v>
      </c>
      <c r="I10" s="1832">
        <v>111133</v>
      </c>
      <c r="J10" s="1832">
        <v>112121</v>
      </c>
      <c r="K10" s="1833">
        <v>111195</v>
      </c>
      <c r="L10" s="731">
        <v>1</v>
      </c>
      <c r="M10" s="728">
        <v>1</v>
      </c>
      <c r="N10" s="684">
        <v>1</v>
      </c>
      <c r="O10" s="684">
        <v>1</v>
      </c>
      <c r="P10" s="684">
        <v>1</v>
      </c>
      <c r="Q10" s="684">
        <v>1</v>
      </c>
      <c r="R10" s="691">
        <v>1</v>
      </c>
      <c r="S10" s="684" t="s">
        <v>1588</v>
      </c>
      <c r="T10" s="691" t="s">
        <v>1588</v>
      </c>
    </row>
    <row r="11" spans="1:20" ht="33.75" customHeight="1" thickBot="1">
      <c r="A11" s="3383"/>
      <c r="B11" s="713" t="s">
        <v>7</v>
      </c>
      <c r="C11" s="700" t="s">
        <v>1057</v>
      </c>
      <c r="D11" s="688" t="s">
        <v>1055</v>
      </c>
      <c r="E11" s="2590">
        <v>212846</v>
      </c>
      <c r="F11" s="1826">
        <v>211302</v>
      </c>
      <c r="G11" s="1827">
        <v>209757</v>
      </c>
      <c r="H11" s="1828">
        <v>208213</v>
      </c>
      <c r="I11" s="1828">
        <v>211886</v>
      </c>
      <c r="J11" s="1828">
        <v>259875</v>
      </c>
      <c r="K11" s="1829">
        <v>257664</v>
      </c>
      <c r="L11" s="732">
        <v>1</v>
      </c>
      <c r="M11" s="729">
        <v>1</v>
      </c>
      <c r="N11" s="692">
        <v>1</v>
      </c>
      <c r="O11" s="692">
        <v>1</v>
      </c>
      <c r="P11" s="692">
        <v>1</v>
      </c>
      <c r="Q11" s="692">
        <v>1</v>
      </c>
      <c r="R11" s="693">
        <v>1</v>
      </c>
      <c r="S11" s="692" t="s">
        <v>1588</v>
      </c>
      <c r="T11" s="693" t="s">
        <v>1588</v>
      </c>
    </row>
    <row r="12" spans="1:20" ht="38.25">
      <c r="A12" s="3381" t="s">
        <v>1127</v>
      </c>
      <c r="B12" s="714" t="s">
        <v>39</v>
      </c>
      <c r="C12" s="701" t="s">
        <v>1089</v>
      </c>
      <c r="D12" s="697" t="s">
        <v>1055</v>
      </c>
      <c r="E12" s="2590">
        <v>96211</v>
      </c>
      <c r="F12" s="1826">
        <v>95993</v>
      </c>
      <c r="G12" s="1827">
        <v>95353</v>
      </c>
      <c r="H12" s="1828">
        <v>95719</v>
      </c>
      <c r="I12" s="1828">
        <v>98060</v>
      </c>
      <c r="J12" s="1828">
        <v>117661</v>
      </c>
      <c r="K12" s="1829">
        <v>116755</v>
      </c>
      <c r="L12" s="730">
        <v>1</v>
      </c>
      <c r="M12" s="727">
        <v>1</v>
      </c>
      <c r="N12" s="689">
        <v>1</v>
      </c>
      <c r="O12" s="689">
        <v>1</v>
      </c>
      <c r="P12" s="689">
        <v>1</v>
      </c>
      <c r="Q12" s="689">
        <v>1</v>
      </c>
      <c r="R12" s="690">
        <v>1</v>
      </c>
      <c r="S12" s="689" t="s">
        <v>1589</v>
      </c>
      <c r="T12" s="689" t="s">
        <v>1589</v>
      </c>
    </row>
    <row r="13" spans="1:20" ht="38.25">
      <c r="A13" s="3382"/>
      <c r="B13" s="715"/>
      <c r="C13" s="702" t="s">
        <v>1125</v>
      </c>
      <c r="D13" s="687" t="s">
        <v>1055</v>
      </c>
      <c r="E13" s="2591">
        <v>93086</v>
      </c>
      <c r="F13" s="1830">
        <v>93185</v>
      </c>
      <c r="G13" s="1831">
        <v>92736</v>
      </c>
      <c r="H13" s="1832">
        <v>99134</v>
      </c>
      <c r="I13" s="1832">
        <v>100241</v>
      </c>
      <c r="J13" s="1832">
        <v>113679</v>
      </c>
      <c r="K13" s="1833">
        <v>112786</v>
      </c>
      <c r="L13" s="731">
        <v>1</v>
      </c>
      <c r="M13" s="728">
        <v>1</v>
      </c>
      <c r="N13" s="684">
        <v>1</v>
      </c>
      <c r="O13" s="684">
        <v>1</v>
      </c>
      <c r="P13" s="684">
        <v>1</v>
      </c>
      <c r="Q13" s="684">
        <v>1</v>
      </c>
      <c r="R13" s="691">
        <v>1</v>
      </c>
      <c r="S13" s="684" t="s">
        <v>1589</v>
      </c>
      <c r="T13" s="691" t="s">
        <v>1589</v>
      </c>
    </row>
    <row r="14" spans="1:20" ht="39" thickBot="1">
      <c r="A14" s="3383"/>
      <c r="B14" s="713"/>
      <c r="C14" s="703" t="s">
        <v>1126</v>
      </c>
      <c r="D14" s="688" t="s">
        <v>1055</v>
      </c>
      <c r="E14" s="2593">
        <v>53164</v>
      </c>
      <c r="F14" s="1835">
        <v>53164</v>
      </c>
      <c r="G14" s="1836">
        <v>52549</v>
      </c>
      <c r="H14" s="1837">
        <v>55130</v>
      </c>
      <c r="I14" s="1837">
        <v>65914</v>
      </c>
      <c r="J14" s="1837">
        <v>66500</v>
      </c>
      <c r="K14" s="1838">
        <v>65957</v>
      </c>
      <c r="L14" s="732">
        <v>1</v>
      </c>
      <c r="M14" s="729">
        <v>1</v>
      </c>
      <c r="N14" s="692">
        <v>1</v>
      </c>
      <c r="O14" s="692">
        <v>1</v>
      </c>
      <c r="P14" s="692">
        <v>1</v>
      </c>
      <c r="Q14" s="692">
        <v>1</v>
      </c>
      <c r="R14" s="693">
        <v>1</v>
      </c>
      <c r="S14" s="692" t="s">
        <v>1589</v>
      </c>
      <c r="T14" s="693" t="s">
        <v>1589</v>
      </c>
    </row>
    <row r="15" spans="1:20" ht="40.5" customHeight="1">
      <c r="A15" s="3384" t="s">
        <v>1134</v>
      </c>
      <c r="B15" s="714"/>
      <c r="C15" s="701" t="s">
        <v>1130</v>
      </c>
      <c r="D15" s="697" t="s">
        <v>1055</v>
      </c>
      <c r="E15" s="2590">
        <v>100</v>
      </c>
      <c r="F15" s="1826">
        <v>100</v>
      </c>
      <c r="G15" s="1827">
        <v>111</v>
      </c>
      <c r="H15" s="1828">
        <v>113</v>
      </c>
      <c r="I15" s="1828">
        <v>134</v>
      </c>
      <c r="J15" s="1828">
        <v>171</v>
      </c>
      <c r="K15" s="1829">
        <v>171</v>
      </c>
      <c r="L15" s="730">
        <v>1</v>
      </c>
      <c r="M15" s="727">
        <v>1</v>
      </c>
      <c r="N15" s="689">
        <v>1</v>
      </c>
      <c r="O15" s="689">
        <v>1</v>
      </c>
      <c r="P15" s="689">
        <v>1</v>
      </c>
      <c r="Q15" s="689">
        <v>1</v>
      </c>
      <c r="R15" s="690">
        <v>1</v>
      </c>
      <c r="S15" s="689" t="s">
        <v>1590</v>
      </c>
      <c r="T15" s="690" t="s">
        <v>1590</v>
      </c>
    </row>
    <row r="16" spans="1:20" ht="38.25">
      <c r="A16" s="3385"/>
      <c r="B16" s="715"/>
      <c r="C16" s="702" t="s">
        <v>1131</v>
      </c>
      <c r="D16" s="687" t="s">
        <v>1055</v>
      </c>
      <c r="E16" s="2591">
        <v>35</v>
      </c>
      <c r="F16" s="1830">
        <v>35</v>
      </c>
      <c r="G16" s="1831">
        <v>40</v>
      </c>
      <c r="H16" s="1832">
        <v>40</v>
      </c>
      <c r="I16" s="1832">
        <v>66</v>
      </c>
      <c r="J16" s="1832">
        <v>74</v>
      </c>
      <c r="K16" s="1833">
        <v>74</v>
      </c>
      <c r="L16" s="731">
        <v>1</v>
      </c>
      <c r="M16" s="728">
        <v>1</v>
      </c>
      <c r="N16" s="684">
        <v>1</v>
      </c>
      <c r="O16" s="684">
        <v>1</v>
      </c>
      <c r="P16" s="684">
        <v>1</v>
      </c>
      <c r="Q16" s="684">
        <v>1</v>
      </c>
      <c r="R16" s="691">
        <v>1</v>
      </c>
      <c r="S16" s="684" t="s">
        <v>1590</v>
      </c>
      <c r="T16" s="691" t="s">
        <v>1590</v>
      </c>
    </row>
    <row r="17" spans="1:20" ht="38.25">
      <c r="A17" s="3385"/>
      <c r="B17" s="715"/>
      <c r="C17" s="702" t="s">
        <v>1132</v>
      </c>
      <c r="D17" s="687" t="s">
        <v>1055</v>
      </c>
      <c r="E17" s="2591">
        <v>6</v>
      </c>
      <c r="F17" s="1830">
        <v>6</v>
      </c>
      <c r="G17" s="1831">
        <v>6</v>
      </c>
      <c r="H17" s="1832">
        <v>10</v>
      </c>
      <c r="I17" s="1832">
        <v>21</v>
      </c>
      <c r="J17" s="1832">
        <v>23</v>
      </c>
      <c r="K17" s="1833">
        <v>23</v>
      </c>
      <c r="L17" s="731">
        <v>1</v>
      </c>
      <c r="M17" s="728">
        <v>1</v>
      </c>
      <c r="N17" s="684">
        <v>1</v>
      </c>
      <c r="O17" s="684">
        <v>1</v>
      </c>
      <c r="P17" s="684">
        <v>1</v>
      </c>
      <c r="Q17" s="684">
        <v>1</v>
      </c>
      <c r="R17" s="691">
        <v>1</v>
      </c>
      <c r="S17" s="684" t="s">
        <v>1590</v>
      </c>
      <c r="T17" s="691" t="s">
        <v>1590</v>
      </c>
    </row>
    <row r="18" spans="1:20" ht="26.25" thickBot="1">
      <c r="A18" s="3386"/>
      <c r="B18" s="713"/>
      <c r="C18" s="703" t="s">
        <v>1133</v>
      </c>
      <c r="D18" s="688" t="s">
        <v>1055</v>
      </c>
      <c r="E18" s="2593">
        <v>135</v>
      </c>
      <c r="F18" s="1835">
        <v>135</v>
      </c>
      <c r="G18" s="1836">
        <v>135</v>
      </c>
      <c r="H18" s="1837">
        <v>135</v>
      </c>
      <c r="I18" s="1837">
        <v>155</v>
      </c>
      <c r="J18" s="1837">
        <v>210</v>
      </c>
      <c r="K18" s="1838">
        <v>210</v>
      </c>
      <c r="L18" s="732">
        <v>1</v>
      </c>
      <c r="M18" s="729">
        <v>1</v>
      </c>
      <c r="N18" s="692">
        <v>1</v>
      </c>
      <c r="O18" s="692">
        <v>1</v>
      </c>
      <c r="P18" s="692">
        <v>1</v>
      </c>
      <c r="Q18" s="692">
        <v>1</v>
      </c>
      <c r="R18" s="693">
        <v>1</v>
      </c>
      <c r="S18" s="692" t="s">
        <v>1590</v>
      </c>
      <c r="T18" s="693" t="s">
        <v>1590</v>
      </c>
    </row>
    <row r="19" spans="1:20">
      <c r="A19" s="3384" t="s">
        <v>1135</v>
      </c>
      <c r="B19" s="714"/>
      <c r="C19" s="701" t="s">
        <v>1408</v>
      </c>
      <c r="D19" s="697" t="s">
        <v>1055</v>
      </c>
      <c r="E19" s="2590">
        <v>135</v>
      </c>
      <c r="F19" s="1826">
        <v>135</v>
      </c>
      <c r="G19" s="1827">
        <v>141</v>
      </c>
      <c r="H19" s="1828">
        <v>141</v>
      </c>
      <c r="I19" s="1828">
        <v>149</v>
      </c>
      <c r="J19" s="1828">
        <v>166</v>
      </c>
      <c r="K19" s="1829">
        <v>166</v>
      </c>
      <c r="L19" s="730">
        <v>2</v>
      </c>
      <c r="M19" s="727">
        <v>2</v>
      </c>
      <c r="N19" s="727">
        <v>2</v>
      </c>
      <c r="O19" s="689">
        <v>1</v>
      </c>
      <c r="P19" s="689">
        <v>1</v>
      </c>
      <c r="Q19" s="689">
        <v>1</v>
      </c>
      <c r="R19" s="690">
        <v>1</v>
      </c>
      <c r="S19" s="689" t="s">
        <v>1591</v>
      </c>
      <c r="T19" s="690" t="s">
        <v>1592</v>
      </c>
    </row>
    <row r="20" spans="1:20" ht="16.5" customHeight="1">
      <c r="A20" s="3385"/>
      <c r="B20" s="1384"/>
      <c r="C20" s="1385" t="s">
        <v>1136</v>
      </c>
      <c r="D20" s="686" t="s">
        <v>1055</v>
      </c>
      <c r="E20" s="2594">
        <v>4</v>
      </c>
      <c r="F20" s="1839">
        <v>4</v>
      </c>
      <c r="G20" s="1840">
        <v>4</v>
      </c>
      <c r="H20" s="1841">
        <v>4</v>
      </c>
      <c r="I20" s="1841">
        <v>4</v>
      </c>
      <c r="J20" s="1841">
        <v>4</v>
      </c>
      <c r="K20" s="1842">
        <v>4</v>
      </c>
      <c r="L20" s="1361">
        <v>2</v>
      </c>
      <c r="M20" s="1362">
        <v>2</v>
      </c>
      <c r="N20" s="1362">
        <v>2</v>
      </c>
      <c r="O20" s="1352">
        <v>1</v>
      </c>
      <c r="P20" s="1352">
        <v>1</v>
      </c>
      <c r="Q20" s="1352">
        <v>1</v>
      </c>
      <c r="R20" s="1353">
        <v>1</v>
      </c>
      <c r="S20" s="1352" t="s">
        <v>1591</v>
      </c>
      <c r="T20" s="1353" t="s">
        <v>1592</v>
      </c>
    </row>
    <row r="21" spans="1:20" ht="16.5" customHeight="1">
      <c r="A21" s="3385"/>
      <c r="B21" s="715"/>
      <c r="C21" s="702" t="s">
        <v>1137</v>
      </c>
      <c r="D21" s="687" t="s">
        <v>1055</v>
      </c>
      <c r="E21" s="2591">
        <v>107</v>
      </c>
      <c r="F21" s="1830">
        <v>107</v>
      </c>
      <c r="G21" s="1831">
        <v>107</v>
      </c>
      <c r="H21" s="1832">
        <v>109</v>
      </c>
      <c r="I21" s="1832">
        <v>123</v>
      </c>
      <c r="J21" s="1832">
        <v>141</v>
      </c>
      <c r="K21" s="1833">
        <v>141</v>
      </c>
      <c r="L21" s="731">
        <v>2</v>
      </c>
      <c r="M21" s="728">
        <v>2</v>
      </c>
      <c r="N21" s="728">
        <v>2</v>
      </c>
      <c r="O21" s="684">
        <v>1</v>
      </c>
      <c r="P21" s="684">
        <v>1</v>
      </c>
      <c r="Q21" s="684">
        <v>1</v>
      </c>
      <c r="R21" s="691">
        <v>1</v>
      </c>
      <c r="S21" s="684" t="s">
        <v>1591</v>
      </c>
      <c r="T21" s="691" t="s">
        <v>1592</v>
      </c>
    </row>
    <row r="22" spans="1:20" ht="16.5" customHeight="1">
      <c r="A22" s="3385"/>
      <c r="B22" s="715"/>
      <c r="C22" s="702" t="s">
        <v>1138</v>
      </c>
      <c r="D22" s="687" t="s">
        <v>1055</v>
      </c>
      <c r="E22" s="2591">
        <v>27</v>
      </c>
      <c r="F22" s="1830">
        <v>27</v>
      </c>
      <c r="G22" s="1831">
        <v>27</v>
      </c>
      <c r="H22" s="1832">
        <v>28</v>
      </c>
      <c r="I22" s="1832">
        <v>28</v>
      </c>
      <c r="J22" s="1832">
        <v>47</v>
      </c>
      <c r="K22" s="1833">
        <v>47</v>
      </c>
      <c r="L22" s="731">
        <v>2</v>
      </c>
      <c r="M22" s="728">
        <v>2</v>
      </c>
      <c r="N22" s="728">
        <v>2</v>
      </c>
      <c r="O22" s="684">
        <v>1</v>
      </c>
      <c r="P22" s="684">
        <v>1</v>
      </c>
      <c r="Q22" s="684">
        <v>1</v>
      </c>
      <c r="R22" s="691">
        <v>1</v>
      </c>
      <c r="S22" s="684" t="s">
        <v>1593</v>
      </c>
      <c r="T22" s="691" t="s">
        <v>1592</v>
      </c>
    </row>
    <row r="23" spans="1:20" ht="38.25">
      <c r="A23" s="3385"/>
      <c r="B23" s="712" t="s">
        <v>37</v>
      </c>
      <c r="C23" s="699" t="s">
        <v>1087</v>
      </c>
      <c r="D23" s="687" t="s">
        <v>1085</v>
      </c>
      <c r="E23" s="2592">
        <v>1498</v>
      </c>
      <c r="F23" s="1834">
        <v>1498</v>
      </c>
      <c r="G23" s="1832">
        <v>1554</v>
      </c>
      <c r="H23" s="1832">
        <v>1563</v>
      </c>
      <c r="I23" s="1832">
        <v>1723</v>
      </c>
      <c r="J23" s="1832">
        <v>2191</v>
      </c>
      <c r="K23" s="1832">
        <v>2191</v>
      </c>
      <c r="L23" s="731">
        <v>2</v>
      </c>
      <c r="M23" s="728">
        <v>2</v>
      </c>
      <c r="N23" s="728">
        <v>2</v>
      </c>
      <c r="O23" s="684">
        <v>1</v>
      </c>
      <c r="P23" s="684">
        <v>1</v>
      </c>
      <c r="Q23" s="684">
        <v>1</v>
      </c>
      <c r="R23" s="691">
        <v>1</v>
      </c>
      <c r="S23" s="684" t="s">
        <v>1594</v>
      </c>
      <c r="T23" s="691" t="s">
        <v>1592</v>
      </c>
    </row>
    <row r="24" spans="1:20" ht="63.75">
      <c r="A24" s="3385"/>
      <c r="B24" s="715" t="s">
        <v>35</v>
      </c>
      <c r="C24" s="702" t="s">
        <v>1185</v>
      </c>
      <c r="D24" s="687" t="s">
        <v>1085</v>
      </c>
      <c r="E24" s="2592">
        <v>1498</v>
      </c>
      <c r="F24" s="1834">
        <v>1498</v>
      </c>
      <c r="G24" s="1832">
        <v>1554</v>
      </c>
      <c r="H24" s="1832">
        <v>1563</v>
      </c>
      <c r="I24" s="1832">
        <v>1723</v>
      </c>
      <c r="J24" s="1832">
        <v>2191</v>
      </c>
      <c r="K24" s="1832">
        <v>2191</v>
      </c>
      <c r="L24" s="731">
        <v>2</v>
      </c>
      <c r="M24" s="728">
        <v>2</v>
      </c>
      <c r="N24" s="728">
        <v>2</v>
      </c>
      <c r="O24" s="684">
        <v>1</v>
      </c>
      <c r="P24" s="684">
        <v>1</v>
      </c>
      <c r="Q24" s="684">
        <v>1</v>
      </c>
      <c r="R24" s="691">
        <v>1</v>
      </c>
      <c r="S24" s="684" t="s">
        <v>1594</v>
      </c>
      <c r="T24" s="691" t="s">
        <v>1592</v>
      </c>
    </row>
    <row r="25" spans="1:20" ht="19.5" customHeight="1">
      <c r="A25" s="3385"/>
      <c r="B25" s="712" t="s">
        <v>1012</v>
      </c>
      <c r="C25" s="704" t="s">
        <v>1088</v>
      </c>
      <c r="D25" s="687" t="s">
        <v>1055</v>
      </c>
      <c r="E25" s="2592">
        <v>104</v>
      </c>
      <c r="F25" s="1834">
        <v>104</v>
      </c>
      <c r="G25" s="1832">
        <v>108</v>
      </c>
      <c r="H25" s="1832">
        <v>117</v>
      </c>
      <c r="I25" s="1832">
        <v>133</v>
      </c>
      <c r="J25" s="1832">
        <v>175</v>
      </c>
      <c r="K25" s="1833">
        <v>175</v>
      </c>
      <c r="L25" s="731">
        <v>3</v>
      </c>
      <c r="M25" s="728">
        <v>3</v>
      </c>
      <c r="N25" s="684">
        <v>2</v>
      </c>
      <c r="O25" s="684">
        <v>1</v>
      </c>
      <c r="P25" s="684">
        <v>1</v>
      </c>
      <c r="Q25" s="684">
        <v>1</v>
      </c>
      <c r="R25" s="691">
        <v>1</v>
      </c>
      <c r="S25" s="684"/>
      <c r="T25" s="691" t="s">
        <v>1595</v>
      </c>
    </row>
    <row r="26" spans="1:20" ht="17.25" customHeight="1">
      <c r="A26" s="3385"/>
      <c r="B26" s="715" t="s">
        <v>87</v>
      </c>
      <c r="C26" s="699" t="s">
        <v>1174</v>
      </c>
      <c r="D26" s="687" t="s">
        <v>1055</v>
      </c>
      <c r="E26" s="2592">
        <v>51918</v>
      </c>
      <c r="F26" s="1834">
        <v>52138</v>
      </c>
      <c r="G26" s="1843">
        <v>52279</v>
      </c>
      <c r="H26" s="1832">
        <v>52499</v>
      </c>
      <c r="I26" s="1832">
        <v>55811</v>
      </c>
      <c r="J26" s="1832">
        <v>76192</v>
      </c>
      <c r="K26" s="1844">
        <v>76512</v>
      </c>
      <c r="L26" s="731">
        <v>2</v>
      </c>
      <c r="M26" s="728">
        <v>2</v>
      </c>
      <c r="N26" s="684">
        <v>2</v>
      </c>
      <c r="O26" s="684">
        <v>1</v>
      </c>
      <c r="P26" s="684">
        <v>1</v>
      </c>
      <c r="Q26" s="684">
        <v>1</v>
      </c>
      <c r="R26" s="691">
        <v>1</v>
      </c>
      <c r="S26" s="684" t="s">
        <v>1596</v>
      </c>
      <c r="T26" s="691" t="s">
        <v>1592</v>
      </c>
    </row>
    <row r="27" spans="1:20" ht="21.75" customHeight="1">
      <c r="A27" s="3385"/>
      <c r="B27" s="716" t="s">
        <v>1118</v>
      </c>
      <c r="C27" s="699" t="s">
        <v>1119</v>
      </c>
      <c r="D27" s="687" t="s">
        <v>1055</v>
      </c>
      <c r="E27" s="2592">
        <v>52183</v>
      </c>
      <c r="F27" s="1834">
        <v>52238</v>
      </c>
      <c r="G27" s="1832">
        <v>53758</v>
      </c>
      <c r="H27" s="1832">
        <v>53978</v>
      </c>
      <c r="I27" s="1832">
        <v>56652</v>
      </c>
      <c r="J27" s="1832">
        <v>76430</v>
      </c>
      <c r="K27" s="1833">
        <v>76700</v>
      </c>
      <c r="L27" s="731">
        <v>1</v>
      </c>
      <c r="M27" s="728">
        <v>1</v>
      </c>
      <c r="N27" s="684">
        <v>1</v>
      </c>
      <c r="O27" s="684">
        <v>1</v>
      </c>
      <c r="P27" s="684">
        <v>1</v>
      </c>
      <c r="Q27" s="684">
        <v>1</v>
      </c>
      <c r="R27" s="691">
        <v>1</v>
      </c>
      <c r="S27" s="684" t="s">
        <v>1589</v>
      </c>
      <c r="T27" s="691" t="s">
        <v>1589</v>
      </c>
    </row>
    <row r="28" spans="1:20" ht="19.5" customHeight="1">
      <c r="A28" s="3385"/>
      <c r="B28" s="716" t="s">
        <v>89</v>
      </c>
      <c r="C28" s="699" t="s">
        <v>1173</v>
      </c>
      <c r="D28" s="687" t="s">
        <v>1055</v>
      </c>
      <c r="E28" s="2592">
        <v>31884</v>
      </c>
      <c r="F28" s="1834">
        <v>31984</v>
      </c>
      <c r="G28" s="1832">
        <v>32047</v>
      </c>
      <c r="H28" s="1832">
        <v>32147</v>
      </c>
      <c r="I28" s="1832">
        <v>35825</v>
      </c>
      <c r="J28" s="1832">
        <v>47377</v>
      </c>
      <c r="K28" s="1833">
        <v>47507</v>
      </c>
      <c r="L28" s="731">
        <v>2</v>
      </c>
      <c r="M28" s="728">
        <v>2</v>
      </c>
      <c r="N28" s="684">
        <v>2</v>
      </c>
      <c r="O28" s="684">
        <v>1</v>
      </c>
      <c r="P28" s="684">
        <v>1</v>
      </c>
      <c r="Q28" s="684">
        <v>1</v>
      </c>
      <c r="R28" s="691">
        <v>1</v>
      </c>
      <c r="S28" s="684" t="s">
        <v>1596</v>
      </c>
      <c r="T28" s="691" t="s">
        <v>1592</v>
      </c>
    </row>
    <row r="29" spans="1:20" ht="25.5" customHeight="1">
      <c r="A29" s="3385"/>
      <c r="B29" s="712" t="s">
        <v>46</v>
      </c>
      <c r="C29" s="699" t="s">
        <v>1098</v>
      </c>
      <c r="D29" s="687" t="s">
        <v>1097</v>
      </c>
      <c r="E29" s="2592">
        <v>375</v>
      </c>
      <c r="F29" s="1834">
        <v>375</v>
      </c>
      <c r="G29" s="1832">
        <v>375</v>
      </c>
      <c r="H29" s="1832">
        <v>385</v>
      </c>
      <c r="I29" s="1832">
        <v>415</v>
      </c>
      <c r="J29" s="1832">
        <v>505</v>
      </c>
      <c r="K29" s="1832">
        <v>505</v>
      </c>
      <c r="L29" s="731">
        <v>2</v>
      </c>
      <c r="M29" s="728">
        <v>2</v>
      </c>
      <c r="N29" s="684">
        <v>1</v>
      </c>
      <c r="O29" s="684">
        <v>1</v>
      </c>
      <c r="P29" s="684">
        <v>1</v>
      </c>
      <c r="Q29" s="684">
        <v>1</v>
      </c>
      <c r="R29" s="691">
        <v>1</v>
      </c>
      <c r="S29" s="684" t="s">
        <v>1594</v>
      </c>
      <c r="T29" s="691" t="s">
        <v>1592</v>
      </c>
    </row>
    <row r="30" spans="1:20" ht="23.25" customHeight="1">
      <c r="A30" s="3385"/>
      <c r="B30" s="715"/>
      <c r="C30" s="702" t="s">
        <v>1139</v>
      </c>
      <c r="D30" s="687" t="s">
        <v>1055</v>
      </c>
      <c r="E30" s="2591">
        <v>1</v>
      </c>
      <c r="F30" s="1830">
        <v>1</v>
      </c>
      <c r="G30" s="1831">
        <v>1</v>
      </c>
      <c r="H30" s="1832">
        <v>1</v>
      </c>
      <c r="I30" s="1832">
        <v>1</v>
      </c>
      <c r="J30" s="1832">
        <v>2</v>
      </c>
      <c r="K30" s="1833">
        <v>2</v>
      </c>
      <c r="L30" s="731">
        <v>2</v>
      </c>
      <c r="M30" s="728">
        <v>1</v>
      </c>
      <c r="N30" s="684">
        <v>1</v>
      </c>
      <c r="O30" s="684">
        <v>1</v>
      </c>
      <c r="P30" s="684">
        <v>1</v>
      </c>
      <c r="Q30" s="684">
        <v>1</v>
      </c>
      <c r="R30" s="691">
        <v>1</v>
      </c>
      <c r="S30" s="684" t="s">
        <v>1593</v>
      </c>
      <c r="T30" s="691" t="s">
        <v>1592</v>
      </c>
    </row>
    <row r="31" spans="1:20" ht="24" customHeight="1" thickBot="1">
      <c r="A31" s="3386"/>
      <c r="B31" s="713"/>
      <c r="C31" s="703" t="s">
        <v>1140</v>
      </c>
      <c r="D31" s="688" t="s">
        <v>1055</v>
      </c>
      <c r="E31" s="2593">
        <v>2</v>
      </c>
      <c r="F31" s="1835">
        <v>2</v>
      </c>
      <c r="G31" s="1836">
        <v>2</v>
      </c>
      <c r="H31" s="1837">
        <v>4</v>
      </c>
      <c r="I31" s="1837">
        <v>15</v>
      </c>
      <c r="J31" s="1837">
        <v>17</v>
      </c>
      <c r="K31" s="1838">
        <v>17</v>
      </c>
      <c r="L31" s="732">
        <v>2</v>
      </c>
      <c r="M31" s="729">
        <v>1</v>
      </c>
      <c r="N31" s="692">
        <v>1</v>
      </c>
      <c r="O31" s="692">
        <v>1</v>
      </c>
      <c r="P31" s="692">
        <v>1</v>
      </c>
      <c r="Q31" s="692">
        <v>1</v>
      </c>
      <c r="R31" s="693">
        <v>1</v>
      </c>
      <c r="S31" s="692" t="s">
        <v>1591</v>
      </c>
      <c r="T31" s="693" t="s">
        <v>1592</v>
      </c>
    </row>
    <row r="32" spans="1:20" ht="54" customHeight="1">
      <c r="A32" s="3384" t="s">
        <v>1128</v>
      </c>
      <c r="B32" s="717" t="s">
        <v>8</v>
      </c>
      <c r="C32" s="705" t="s">
        <v>1058</v>
      </c>
      <c r="D32" s="697" t="s">
        <v>1055</v>
      </c>
      <c r="E32" s="2595">
        <f>SUM(E33:E36)</f>
        <v>3591</v>
      </c>
      <c r="F32" s="2476">
        <f t="shared" ref="F32:K32" si="1">SUM(F33:F36)</f>
        <v>2851</v>
      </c>
      <c r="G32" s="2477">
        <f t="shared" si="1"/>
        <v>2698</v>
      </c>
      <c r="H32" s="2477">
        <f t="shared" si="1"/>
        <v>3047</v>
      </c>
      <c r="I32" s="2477">
        <f t="shared" si="1"/>
        <v>3050</v>
      </c>
      <c r="J32" s="2477">
        <f t="shared" si="1"/>
        <v>3262</v>
      </c>
      <c r="K32" s="2478">
        <f t="shared" si="1"/>
        <v>3263</v>
      </c>
      <c r="L32" s="3179">
        <f>MAX(L33,L34,L35,L36)</f>
        <v>2</v>
      </c>
      <c r="M32" s="3180">
        <f t="shared" ref="M32:R32" si="2">MAX(M33,M34,M35,M36)</f>
        <v>2</v>
      </c>
      <c r="N32" s="694">
        <f t="shared" si="2"/>
        <v>1</v>
      </c>
      <c r="O32" s="694">
        <f t="shared" si="2"/>
        <v>1</v>
      </c>
      <c r="P32" s="694">
        <f t="shared" si="2"/>
        <v>1</v>
      </c>
      <c r="Q32" s="694">
        <f t="shared" si="2"/>
        <v>1</v>
      </c>
      <c r="R32" s="695">
        <f t="shared" si="2"/>
        <v>1</v>
      </c>
      <c r="S32" s="684"/>
      <c r="T32" s="691"/>
    </row>
    <row r="33" spans="1:20" ht="38.25">
      <c r="A33" s="3385"/>
      <c r="B33" s="715" t="s">
        <v>9</v>
      </c>
      <c r="C33" s="702" t="s">
        <v>1059</v>
      </c>
      <c r="D33" s="687" t="s">
        <v>1055</v>
      </c>
      <c r="E33" s="2591">
        <v>2211</v>
      </c>
      <c r="F33" s="1830">
        <v>1891</v>
      </c>
      <c r="G33" s="1831">
        <v>1666</v>
      </c>
      <c r="H33" s="1832">
        <v>1923</v>
      </c>
      <c r="I33" s="1832">
        <v>1924</v>
      </c>
      <c r="J33" s="1832">
        <v>1924</v>
      </c>
      <c r="K33" s="1833">
        <v>1924</v>
      </c>
      <c r="L33" s="731">
        <v>2</v>
      </c>
      <c r="M33" s="728">
        <v>2</v>
      </c>
      <c r="N33" s="684">
        <v>1</v>
      </c>
      <c r="O33" s="684">
        <v>1</v>
      </c>
      <c r="P33" s="684">
        <v>1</v>
      </c>
      <c r="Q33" s="684">
        <v>1</v>
      </c>
      <c r="R33" s="691">
        <v>1</v>
      </c>
      <c r="S33" s="684" t="s">
        <v>1597</v>
      </c>
      <c r="T33" s="691" t="s">
        <v>1598</v>
      </c>
    </row>
    <row r="34" spans="1:20" ht="38.25">
      <c r="A34" s="3385"/>
      <c r="B34" s="715" t="s">
        <v>10</v>
      </c>
      <c r="C34" s="702" t="s">
        <v>1060</v>
      </c>
      <c r="D34" s="687" t="s">
        <v>1055</v>
      </c>
      <c r="E34" s="2591">
        <v>280</v>
      </c>
      <c r="F34" s="1830">
        <v>221</v>
      </c>
      <c r="G34" s="1831">
        <v>236</v>
      </c>
      <c r="H34" s="1832">
        <v>246</v>
      </c>
      <c r="I34" s="1832">
        <v>247</v>
      </c>
      <c r="J34" s="1832">
        <v>320</v>
      </c>
      <c r="K34" s="1833">
        <v>321</v>
      </c>
      <c r="L34" s="731">
        <v>2</v>
      </c>
      <c r="M34" s="728">
        <v>2</v>
      </c>
      <c r="N34" s="684">
        <v>1</v>
      </c>
      <c r="O34" s="684">
        <v>1</v>
      </c>
      <c r="P34" s="684">
        <v>1</v>
      </c>
      <c r="Q34" s="684">
        <v>1</v>
      </c>
      <c r="R34" s="691">
        <v>1</v>
      </c>
      <c r="S34" s="684" t="s">
        <v>1597</v>
      </c>
      <c r="T34" s="691" t="s">
        <v>1598</v>
      </c>
    </row>
    <row r="35" spans="1:20" ht="38.25">
      <c r="A35" s="3385"/>
      <c r="B35" s="715" t="s">
        <v>11</v>
      </c>
      <c r="C35" s="702" t="s">
        <v>1061</v>
      </c>
      <c r="D35" s="687" t="s">
        <v>1055</v>
      </c>
      <c r="E35" s="2591">
        <v>1087</v>
      </c>
      <c r="F35" s="1830">
        <v>734</v>
      </c>
      <c r="G35" s="1831">
        <v>771</v>
      </c>
      <c r="H35" s="1832">
        <v>864</v>
      </c>
      <c r="I35" s="1832">
        <v>865</v>
      </c>
      <c r="J35" s="1832">
        <v>1004</v>
      </c>
      <c r="K35" s="1833">
        <v>1004</v>
      </c>
      <c r="L35" s="731">
        <v>2</v>
      </c>
      <c r="M35" s="728">
        <v>2</v>
      </c>
      <c r="N35" s="684">
        <v>1</v>
      </c>
      <c r="O35" s="684">
        <v>1</v>
      </c>
      <c r="P35" s="684">
        <v>1</v>
      </c>
      <c r="Q35" s="684">
        <v>1</v>
      </c>
      <c r="R35" s="691">
        <v>1</v>
      </c>
      <c r="S35" s="684" t="s">
        <v>1597</v>
      </c>
      <c r="T35" s="691" t="s">
        <v>1598</v>
      </c>
    </row>
    <row r="36" spans="1:20" ht="39" thickBot="1">
      <c r="A36" s="3385"/>
      <c r="B36" s="715" t="s">
        <v>12</v>
      </c>
      <c r="C36" s="702" t="s">
        <v>1062</v>
      </c>
      <c r="D36" s="687" t="s">
        <v>1055</v>
      </c>
      <c r="E36" s="2591">
        <v>13</v>
      </c>
      <c r="F36" s="1830">
        <v>5</v>
      </c>
      <c r="G36" s="1831">
        <v>25</v>
      </c>
      <c r="H36" s="1832">
        <v>14</v>
      </c>
      <c r="I36" s="1832">
        <v>14</v>
      </c>
      <c r="J36" s="1832">
        <v>14</v>
      </c>
      <c r="K36" s="1833">
        <v>14</v>
      </c>
      <c r="L36" s="731">
        <v>2</v>
      </c>
      <c r="M36" s="728">
        <v>2</v>
      </c>
      <c r="N36" s="684">
        <v>1</v>
      </c>
      <c r="O36" s="684">
        <v>1</v>
      </c>
      <c r="P36" s="684">
        <v>1</v>
      </c>
      <c r="Q36" s="684">
        <v>1</v>
      </c>
      <c r="R36" s="691">
        <v>1</v>
      </c>
      <c r="S36" s="1359" t="s">
        <v>1597</v>
      </c>
      <c r="T36" s="1360" t="s">
        <v>1598</v>
      </c>
    </row>
    <row r="37" spans="1:20" ht="51">
      <c r="A37" s="3385"/>
      <c r="B37" s="718" t="s">
        <v>13</v>
      </c>
      <c r="C37" s="706" t="s">
        <v>1063</v>
      </c>
      <c r="D37" s="687" t="s">
        <v>1055</v>
      </c>
      <c r="E37" s="2596">
        <f>SUM(E38:E41)</f>
        <v>3600</v>
      </c>
      <c r="F37" s="2473">
        <f t="shared" ref="F37:K37" si="3">SUM(F38:F41)</f>
        <v>2852</v>
      </c>
      <c r="G37" s="3162">
        <f t="shared" si="3"/>
        <v>2699</v>
      </c>
      <c r="H37" s="2474">
        <f t="shared" si="3"/>
        <v>3050</v>
      </c>
      <c r="I37" s="2474">
        <f t="shared" si="3"/>
        <v>3052</v>
      </c>
      <c r="J37" s="2474">
        <f t="shared" si="3"/>
        <v>3270</v>
      </c>
      <c r="K37" s="2475">
        <f t="shared" si="3"/>
        <v>3270</v>
      </c>
      <c r="L37" s="3181">
        <f>MAX(L38,L39,L40,L41)</f>
        <v>2</v>
      </c>
      <c r="M37" s="3182">
        <f t="shared" ref="M37:R37" si="4">MAX(M38,M39,M40,M41)</f>
        <v>2</v>
      </c>
      <c r="N37" s="685">
        <f t="shared" si="4"/>
        <v>1</v>
      </c>
      <c r="O37" s="685">
        <f t="shared" si="4"/>
        <v>1</v>
      </c>
      <c r="P37" s="685">
        <f t="shared" si="4"/>
        <v>1</v>
      </c>
      <c r="Q37" s="685">
        <f t="shared" si="4"/>
        <v>1</v>
      </c>
      <c r="R37" s="696">
        <f t="shared" si="4"/>
        <v>1</v>
      </c>
      <c r="S37" s="3163"/>
      <c r="T37" s="690"/>
    </row>
    <row r="38" spans="1:20" ht="38.25">
      <c r="A38" s="3385"/>
      <c r="B38" s="715" t="s">
        <v>14</v>
      </c>
      <c r="C38" s="702" t="s">
        <v>1064</v>
      </c>
      <c r="D38" s="687" t="s">
        <v>1055</v>
      </c>
      <c r="E38" s="2591">
        <v>2218</v>
      </c>
      <c r="F38" s="1830">
        <v>1891</v>
      </c>
      <c r="G38" s="1831">
        <v>1666</v>
      </c>
      <c r="H38" s="1832">
        <v>1925</v>
      </c>
      <c r="I38" s="1832">
        <v>1925</v>
      </c>
      <c r="J38" s="1832">
        <v>1925</v>
      </c>
      <c r="K38" s="1833">
        <v>1925</v>
      </c>
      <c r="L38" s="731">
        <v>2</v>
      </c>
      <c r="M38" s="728">
        <v>2</v>
      </c>
      <c r="N38" s="684">
        <v>1</v>
      </c>
      <c r="O38" s="684">
        <v>1</v>
      </c>
      <c r="P38" s="684">
        <v>1</v>
      </c>
      <c r="Q38" s="684">
        <v>1</v>
      </c>
      <c r="R38" s="691">
        <v>1</v>
      </c>
      <c r="S38" s="3164" t="s">
        <v>1597</v>
      </c>
      <c r="T38" s="691" t="s">
        <v>1598</v>
      </c>
    </row>
    <row r="39" spans="1:20" ht="38.25">
      <c r="A39" s="3385"/>
      <c r="B39" s="715" t="s">
        <v>15</v>
      </c>
      <c r="C39" s="702" t="s">
        <v>1065</v>
      </c>
      <c r="D39" s="687" t="s">
        <v>1055</v>
      </c>
      <c r="E39" s="2591">
        <v>282</v>
      </c>
      <c r="F39" s="1830">
        <v>221</v>
      </c>
      <c r="G39" s="1831">
        <v>236</v>
      </c>
      <c r="H39" s="1832">
        <v>246</v>
      </c>
      <c r="I39" s="1832">
        <v>247</v>
      </c>
      <c r="J39" s="1832">
        <v>326</v>
      </c>
      <c r="K39" s="1833">
        <v>326</v>
      </c>
      <c r="L39" s="731">
        <v>2</v>
      </c>
      <c r="M39" s="728">
        <v>2</v>
      </c>
      <c r="N39" s="684">
        <v>1</v>
      </c>
      <c r="O39" s="684">
        <v>1</v>
      </c>
      <c r="P39" s="684">
        <v>1</v>
      </c>
      <c r="Q39" s="684">
        <v>1</v>
      </c>
      <c r="R39" s="691">
        <v>1</v>
      </c>
      <c r="S39" s="3164" t="s">
        <v>1597</v>
      </c>
      <c r="T39" s="691" t="s">
        <v>1598</v>
      </c>
    </row>
    <row r="40" spans="1:20" ht="38.25">
      <c r="A40" s="3385"/>
      <c r="B40" s="715" t="s">
        <v>16</v>
      </c>
      <c r="C40" s="702" t="s">
        <v>1066</v>
      </c>
      <c r="D40" s="687" t="s">
        <v>1055</v>
      </c>
      <c r="E40" s="2591">
        <v>1087</v>
      </c>
      <c r="F40" s="1830">
        <v>735</v>
      </c>
      <c r="G40" s="1831">
        <v>771</v>
      </c>
      <c r="H40" s="1832">
        <v>864</v>
      </c>
      <c r="I40" s="1832">
        <v>865</v>
      </c>
      <c r="J40" s="1832">
        <v>1004</v>
      </c>
      <c r="K40" s="1833">
        <v>1004</v>
      </c>
      <c r="L40" s="731">
        <v>2</v>
      </c>
      <c r="M40" s="728">
        <v>2</v>
      </c>
      <c r="N40" s="684">
        <v>1</v>
      </c>
      <c r="O40" s="684">
        <v>1</v>
      </c>
      <c r="P40" s="684">
        <v>1</v>
      </c>
      <c r="Q40" s="684">
        <v>1</v>
      </c>
      <c r="R40" s="691">
        <v>1</v>
      </c>
      <c r="S40" s="3164" t="s">
        <v>1597</v>
      </c>
      <c r="T40" s="691" t="s">
        <v>1598</v>
      </c>
    </row>
    <row r="41" spans="1:20" ht="39" thickBot="1">
      <c r="A41" s="3386"/>
      <c r="B41" s="713" t="s">
        <v>17</v>
      </c>
      <c r="C41" s="703" t="s">
        <v>1067</v>
      </c>
      <c r="D41" s="688" t="s">
        <v>1055</v>
      </c>
      <c r="E41" s="2593">
        <v>13</v>
      </c>
      <c r="F41" s="1835">
        <v>5</v>
      </c>
      <c r="G41" s="1836">
        <v>26</v>
      </c>
      <c r="H41" s="1837">
        <v>15</v>
      </c>
      <c r="I41" s="1837">
        <v>15</v>
      </c>
      <c r="J41" s="1837">
        <v>15</v>
      </c>
      <c r="K41" s="1838">
        <v>15</v>
      </c>
      <c r="L41" s="731">
        <v>2</v>
      </c>
      <c r="M41" s="728">
        <v>2</v>
      </c>
      <c r="N41" s="692">
        <v>1</v>
      </c>
      <c r="O41" s="692">
        <v>1</v>
      </c>
      <c r="P41" s="692">
        <v>1</v>
      </c>
      <c r="Q41" s="692">
        <v>1</v>
      </c>
      <c r="R41" s="693">
        <v>1</v>
      </c>
      <c r="S41" s="3165" t="s">
        <v>1597</v>
      </c>
      <c r="T41" s="693" t="s">
        <v>1598</v>
      </c>
    </row>
    <row r="42" spans="1:20" ht="38.25">
      <c r="A42" s="3387" t="s">
        <v>1129</v>
      </c>
      <c r="B42" s="717" t="s">
        <v>18</v>
      </c>
      <c r="C42" s="705" t="s">
        <v>1068</v>
      </c>
      <c r="D42" s="697" t="s">
        <v>1055</v>
      </c>
      <c r="E42" s="2595">
        <f>SUM(E43:E46)</f>
        <v>4904</v>
      </c>
      <c r="F42" s="2476">
        <f t="shared" ref="F42:K42" si="5">SUM(F43:F46)</f>
        <v>4755</v>
      </c>
      <c r="G42" s="2477">
        <f t="shared" si="5"/>
        <v>4602</v>
      </c>
      <c r="H42" s="2477">
        <f t="shared" si="5"/>
        <v>4754</v>
      </c>
      <c r="I42" s="2477">
        <f t="shared" si="5"/>
        <v>4766</v>
      </c>
      <c r="J42" s="2477">
        <f t="shared" si="5"/>
        <v>5308</v>
      </c>
      <c r="K42" s="2478">
        <f t="shared" si="5"/>
        <v>5322</v>
      </c>
      <c r="L42" s="3184">
        <f>MAX(L43,L44,L45,L46)</f>
        <v>2</v>
      </c>
      <c r="M42" s="3183">
        <f t="shared" ref="M42:R42" si="6">MAX(M43,M44,M45,M46)</f>
        <v>2</v>
      </c>
      <c r="N42" s="694">
        <f t="shared" si="6"/>
        <v>1</v>
      </c>
      <c r="O42" s="694">
        <f t="shared" si="6"/>
        <v>1</v>
      </c>
      <c r="P42" s="694">
        <f t="shared" si="6"/>
        <v>1</v>
      </c>
      <c r="Q42" s="694">
        <f t="shared" si="6"/>
        <v>1</v>
      </c>
      <c r="R42" s="695">
        <f t="shared" si="6"/>
        <v>1</v>
      </c>
      <c r="S42" s="1352"/>
      <c r="T42" s="1353"/>
    </row>
    <row r="43" spans="1:20" ht="38.25">
      <c r="A43" s="3388"/>
      <c r="B43" s="715" t="s">
        <v>19</v>
      </c>
      <c r="C43" s="702" t="s">
        <v>1069</v>
      </c>
      <c r="D43" s="687" t="s">
        <v>1055</v>
      </c>
      <c r="E43" s="2591">
        <v>2695</v>
      </c>
      <c r="F43" s="1830">
        <v>2800</v>
      </c>
      <c r="G43" s="1831">
        <v>2682</v>
      </c>
      <c r="H43" s="1832">
        <v>2726</v>
      </c>
      <c r="I43" s="1832">
        <v>2726</v>
      </c>
      <c r="J43" s="1832">
        <v>2730</v>
      </c>
      <c r="K43" s="1833">
        <v>2739</v>
      </c>
      <c r="L43" s="3185">
        <v>2</v>
      </c>
      <c r="M43" s="3164">
        <v>2</v>
      </c>
      <c r="N43" s="684">
        <v>1</v>
      </c>
      <c r="O43" s="684">
        <v>1</v>
      </c>
      <c r="P43" s="684">
        <v>1</v>
      </c>
      <c r="Q43" s="684">
        <v>1</v>
      </c>
      <c r="R43" s="691">
        <v>1</v>
      </c>
      <c r="S43" s="684" t="s">
        <v>1597</v>
      </c>
      <c r="T43" s="691" t="s">
        <v>1598</v>
      </c>
    </row>
    <row r="44" spans="1:20" ht="38.25">
      <c r="A44" s="3388"/>
      <c r="B44" s="715" t="s">
        <v>20</v>
      </c>
      <c r="C44" s="702" t="s">
        <v>1070</v>
      </c>
      <c r="D44" s="687" t="s">
        <v>1055</v>
      </c>
      <c r="E44" s="2591">
        <v>311</v>
      </c>
      <c r="F44" s="1830">
        <v>500</v>
      </c>
      <c r="G44" s="1831">
        <v>368</v>
      </c>
      <c r="H44" s="1832">
        <v>393</v>
      </c>
      <c r="I44" s="1832">
        <v>399</v>
      </c>
      <c r="J44" s="1832">
        <v>592</v>
      </c>
      <c r="K44" s="1833">
        <v>595</v>
      </c>
      <c r="L44" s="3185">
        <v>2</v>
      </c>
      <c r="M44" s="3164">
        <v>2</v>
      </c>
      <c r="N44" s="684">
        <v>1</v>
      </c>
      <c r="O44" s="684">
        <v>1</v>
      </c>
      <c r="P44" s="684">
        <v>1</v>
      </c>
      <c r="Q44" s="684">
        <v>1</v>
      </c>
      <c r="R44" s="691">
        <v>1</v>
      </c>
      <c r="S44" s="684" t="s">
        <v>1597</v>
      </c>
      <c r="T44" s="691" t="s">
        <v>1598</v>
      </c>
    </row>
    <row r="45" spans="1:20" ht="38.25">
      <c r="A45" s="3388"/>
      <c r="B45" s="715" t="s">
        <v>21</v>
      </c>
      <c r="C45" s="702" t="s">
        <v>1071</v>
      </c>
      <c r="D45" s="687" t="s">
        <v>1055</v>
      </c>
      <c r="E45" s="2591">
        <v>1790</v>
      </c>
      <c r="F45" s="1830">
        <v>1435</v>
      </c>
      <c r="G45" s="1831">
        <v>1393</v>
      </c>
      <c r="H45" s="1832">
        <v>1539</v>
      </c>
      <c r="I45" s="1832">
        <v>1545</v>
      </c>
      <c r="J45" s="1832">
        <v>1888</v>
      </c>
      <c r="K45" s="1833">
        <v>1888</v>
      </c>
      <c r="L45" s="3185">
        <v>2</v>
      </c>
      <c r="M45" s="3164">
        <v>2</v>
      </c>
      <c r="N45" s="684">
        <v>1</v>
      </c>
      <c r="O45" s="684">
        <v>1</v>
      </c>
      <c r="P45" s="684">
        <v>1</v>
      </c>
      <c r="Q45" s="684">
        <v>1</v>
      </c>
      <c r="R45" s="691">
        <v>1</v>
      </c>
      <c r="S45" s="684" t="s">
        <v>1597</v>
      </c>
      <c r="T45" s="691" t="s">
        <v>1598</v>
      </c>
    </row>
    <row r="46" spans="1:20" ht="38.25">
      <c r="A46" s="3388"/>
      <c r="B46" s="715" t="s">
        <v>22</v>
      </c>
      <c r="C46" s="702" t="s">
        <v>1072</v>
      </c>
      <c r="D46" s="687" t="s">
        <v>1055</v>
      </c>
      <c r="E46" s="2591">
        <v>108</v>
      </c>
      <c r="F46" s="1830">
        <v>20</v>
      </c>
      <c r="G46" s="1831">
        <v>159</v>
      </c>
      <c r="H46" s="1832">
        <v>96</v>
      </c>
      <c r="I46" s="1832">
        <v>96</v>
      </c>
      <c r="J46" s="1832">
        <v>98</v>
      </c>
      <c r="K46" s="1833">
        <v>100</v>
      </c>
      <c r="L46" s="3185">
        <v>2</v>
      </c>
      <c r="M46" s="3164">
        <v>2</v>
      </c>
      <c r="N46" s="684">
        <v>1</v>
      </c>
      <c r="O46" s="684">
        <v>1</v>
      </c>
      <c r="P46" s="684">
        <v>1</v>
      </c>
      <c r="Q46" s="684">
        <v>1</v>
      </c>
      <c r="R46" s="691">
        <v>1</v>
      </c>
      <c r="S46" s="684" t="s">
        <v>1597</v>
      </c>
      <c r="T46" s="691" t="s">
        <v>1598</v>
      </c>
    </row>
    <row r="47" spans="1:20" ht="38.25">
      <c r="A47" s="3388"/>
      <c r="B47" s="718" t="s">
        <v>23</v>
      </c>
      <c r="C47" s="706" t="s">
        <v>1073</v>
      </c>
      <c r="D47" s="687" t="s">
        <v>1055</v>
      </c>
      <c r="E47" s="2596">
        <f>SUM(E48:E51)</f>
        <v>4962</v>
      </c>
      <c r="F47" s="2473">
        <f t="shared" ref="F47:K47" si="7">SUM(F48:F51)</f>
        <v>4771</v>
      </c>
      <c r="G47" s="2474">
        <f t="shared" si="7"/>
        <v>4644</v>
      </c>
      <c r="H47" s="2474">
        <f t="shared" si="7"/>
        <v>4793</v>
      </c>
      <c r="I47" s="2474">
        <f t="shared" si="7"/>
        <v>4805</v>
      </c>
      <c r="J47" s="2474">
        <f t="shared" si="7"/>
        <v>5336</v>
      </c>
      <c r="K47" s="2475">
        <f t="shared" si="7"/>
        <v>5336</v>
      </c>
      <c r="L47" s="3186">
        <f>MAX(L48,L49,L50,L51)</f>
        <v>2</v>
      </c>
      <c r="M47" s="3187">
        <f t="shared" ref="M47:R47" si="8">MAX(M48,M49,M50,M51)</f>
        <v>2</v>
      </c>
      <c r="N47" s="685">
        <f t="shared" si="8"/>
        <v>1</v>
      </c>
      <c r="O47" s="685">
        <f t="shared" si="8"/>
        <v>1</v>
      </c>
      <c r="P47" s="685">
        <f t="shared" si="8"/>
        <v>1</v>
      </c>
      <c r="Q47" s="685">
        <f t="shared" si="8"/>
        <v>1</v>
      </c>
      <c r="R47" s="696">
        <f t="shared" si="8"/>
        <v>1</v>
      </c>
      <c r="S47" s="684"/>
      <c r="T47" s="691"/>
    </row>
    <row r="48" spans="1:20" ht="31.5" customHeight="1">
      <c r="A48" s="3388"/>
      <c r="B48" s="715" t="s">
        <v>24</v>
      </c>
      <c r="C48" s="702" t="s">
        <v>1074</v>
      </c>
      <c r="D48" s="687" t="s">
        <v>1055</v>
      </c>
      <c r="E48" s="2591">
        <v>2738</v>
      </c>
      <c r="F48" s="1830">
        <v>2810</v>
      </c>
      <c r="G48" s="1831">
        <v>2691</v>
      </c>
      <c r="H48" s="1832">
        <v>2746</v>
      </c>
      <c r="I48" s="1832">
        <v>2746</v>
      </c>
      <c r="J48" s="1832">
        <v>2746</v>
      </c>
      <c r="K48" s="1833">
        <v>2746</v>
      </c>
      <c r="L48" s="3185">
        <v>2</v>
      </c>
      <c r="M48" s="3164">
        <v>2</v>
      </c>
      <c r="N48" s="684">
        <v>1</v>
      </c>
      <c r="O48" s="684">
        <v>1</v>
      </c>
      <c r="P48" s="684">
        <v>1</v>
      </c>
      <c r="Q48" s="684">
        <v>1</v>
      </c>
      <c r="R48" s="691">
        <v>1</v>
      </c>
      <c r="S48" s="684" t="s">
        <v>1597</v>
      </c>
      <c r="T48" s="691" t="s">
        <v>1598</v>
      </c>
    </row>
    <row r="49" spans="1:20" ht="30" customHeight="1">
      <c r="A49" s="3388"/>
      <c r="B49" s="715" t="s">
        <v>25</v>
      </c>
      <c r="C49" s="702" t="s">
        <v>1075</v>
      </c>
      <c r="D49" s="687" t="s">
        <v>1055</v>
      </c>
      <c r="E49" s="2591">
        <v>321</v>
      </c>
      <c r="F49" s="1830">
        <v>505</v>
      </c>
      <c r="G49" s="1831">
        <v>379</v>
      </c>
      <c r="H49" s="1832">
        <v>402</v>
      </c>
      <c r="I49" s="1832">
        <v>408</v>
      </c>
      <c r="J49" s="1832">
        <v>598</v>
      </c>
      <c r="K49" s="1833">
        <v>598</v>
      </c>
      <c r="L49" s="3185">
        <v>2</v>
      </c>
      <c r="M49" s="3164">
        <v>2</v>
      </c>
      <c r="N49" s="684">
        <v>1</v>
      </c>
      <c r="O49" s="684">
        <v>1</v>
      </c>
      <c r="P49" s="684">
        <v>1</v>
      </c>
      <c r="Q49" s="684">
        <v>1</v>
      </c>
      <c r="R49" s="691">
        <v>1</v>
      </c>
      <c r="S49" s="684" t="s">
        <v>1597</v>
      </c>
      <c r="T49" s="691" t="s">
        <v>1598</v>
      </c>
    </row>
    <row r="50" spans="1:20" ht="28.5" customHeight="1">
      <c r="A50" s="3388"/>
      <c r="B50" s="715" t="s">
        <v>26</v>
      </c>
      <c r="C50" s="702" t="s">
        <v>1076</v>
      </c>
      <c r="D50" s="687" t="s">
        <v>1055</v>
      </c>
      <c r="E50" s="2591">
        <v>1795</v>
      </c>
      <c r="F50" s="1830">
        <v>1436</v>
      </c>
      <c r="G50" s="1831">
        <v>1394</v>
      </c>
      <c r="H50" s="1832">
        <v>1542</v>
      </c>
      <c r="I50" s="1832">
        <v>1548</v>
      </c>
      <c r="J50" s="1832">
        <v>1889</v>
      </c>
      <c r="K50" s="1833">
        <v>1889</v>
      </c>
      <c r="L50" s="3185">
        <v>2</v>
      </c>
      <c r="M50" s="3164">
        <v>2</v>
      </c>
      <c r="N50" s="684">
        <v>1</v>
      </c>
      <c r="O50" s="684">
        <v>1</v>
      </c>
      <c r="P50" s="684">
        <v>1</v>
      </c>
      <c r="Q50" s="684">
        <v>1</v>
      </c>
      <c r="R50" s="691">
        <v>1</v>
      </c>
      <c r="S50" s="684" t="s">
        <v>1597</v>
      </c>
      <c r="T50" s="691" t="s">
        <v>1598</v>
      </c>
    </row>
    <row r="51" spans="1:20" ht="30" customHeight="1" thickBot="1">
      <c r="A51" s="3389"/>
      <c r="B51" s="713" t="s">
        <v>27</v>
      </c>
      <c r="C51" s="703" t="s">
        <v>1077</v>
      </c>
      <c r="D51" s="688" t="s">
        <v>1055</v>
      </c>
      <c r="E51" s="2593">
        <v>108</v>
      </c>
      <c r="F51" s="1835">
        <v>20</v>
      </c>
      <c r="G51" s="1836">
        <v>180</v>
      </c>
      <c r="H51" s="1837">
        <v>103</v>
      </c>
      <c r="I51" s="1837">
        <v>103</v>
      </c>
      <c r="J51" s="1837">
        <v>103</v>
      </c>
      <c r="K51" s="1838">
        <v>103</v>
      </c>
      <c r="L51" s="1375">
        <v>2</v>
      </c>
      <c r="M51" s="3165">
        <v>2</v>
      </c>
      <c r="N51" s="692">
        <v>1</v>
      </c>
      <c r="O51" s="692">
        <v>1</v>
      </c>
      <c r="P51" s="692">
        <v>1</v>
      </c>
      <c r="Q51" s="692">
        <v>1</v>
      </c>
      <c r="R51" s="693">
        <v>1</v>
      </c>
      <c r="S51" s="692" t="s">
        <v>1597</v>
      </c>
      <c r="T51" s="693" t="s">
        <v>1598</v>
      </c>
    </row>
    <row r="52" spans="1:20" ht="23.25" customHeight="1">
      <c r="A52" s="3384" t="s">
        <v>1175</v>
      </c>
      <c r="B52" s="714" t="s">
        <v>28</v>
      </c>
      <c r="C52" s="701" t="s">
        <v>1078</v>
      </c>
      <c r="D52" s="697" t="s">
        <v>1055</v>
      </c>
      <c r="E52" s="2597">
        <v>57</v>
      </c>
      <c r="F52" s="1845">
        <v>57</v>
      </c>
      <c r="G52" s="1828">
        <v>57</v>
      </c>
      <c r="H52" s="1828">
        <v>57</v>
      </c>
      <c r="I52" s="1828">
        <v>57</v>
      </c>
      <c r="J52" s="1828">
        <v>85</v>
      </c>
      <c r="K52" s="1829">
        <v>85</v>
      </c>
      <c r="L52" s="731">
        <v>2</v>
      </c>
      <c r="M52" s="1362">
        <v>2</v>
      </c>
      <c r="N52" s="1352">
        <v>1</v>
      </c>
      <c r="O52" s="1352">
        <v>1</v>
      </c>
      <c r="P52" s="1352">
        <v>1</v>
      </c>
      <c r="Q52" s="1352">
        <v>1</v>
      </c>
      <c r="R52" s="1353">
        <v>1</v>
      </c>
      <c r="S52" s="689" t="s">
        <v>1591</v>
      </c>
      <c r="T52" s="690" t="s">
        <v>1591</v>
      </c>
    </row>
    <row r="53" spans="1:20" ht="30" customHeight="1" thickBot="1">
      <c r="A53" s="3386"/>
      <c r="B53" s="713" t="s">
        <v>29</v>
      </c>
      <c r="C53" s="703" t="s">
        <v>1079</v>
      </c>
      <c r="D53" s="688" t="s">
        <v>1055</v>
      </c>
      <c r="E53" s="2598">
        <v>57</v>
      </c>
      <c r="F53" s="1846">
        <v>57</v>
      </c>
      <c r="G53" s="1837">
        <v>57</v>
      </c>
      <c r="H53" s="1837">
        <v>57</v>
      </c>
      <c r="I53" s="1837">
        <v>57</v>
      </c>
      <c r="J53" s="1837">
        <v>85</v>
      </c>
      <c r="K53" s="1838">
        <v>85</v>
      </c>
      <c r="L53" s="731">
        <v>2</v>
      </c>
      <c r="M53" s="728">
        <v>2</v>
      </c>
      <c r="N53" s="692">
        <v>1</v>
      </c>
      <c r="O53" s="692">
        <v>1</v>
      </c>
      <c r="P53" s="692">
        <v>1</v>
      </c>
      <c r="Q53" s="692">
        <v>1</v>
      </c>
      <c r="R53" s="693">
        <v>1</v>
      </c>
      <c r="S53" s="692" t="s">
        <v>1591</v>
      </c>
      <c r="T53" s="693" t="s">
        <v>1591</v>
      </c>
    </row>
    <row r="54" spans="1:20" ht="25.5">
      <c r="A54" s="3384" t="s">
        <v>1142</v>
      </c>
      <c r="B54" s="711" t="s">
        <v>42</v>
      </c>
      <c r="C54" s="698" t="s">
        <v>1093</v>
      </c>
      <c r="D54" s="697" t="s">
        <v>1055</v>
      </c>
      <c r="E54" s="2590">
        <v>34</v>
      </c>
      <c r="F54" s="1826">
        <v>35</v>
      </c>
      <c r="G54" s="1827">
        <v>35</v>
      </c>
      <c r="H54" s="1828">
        <v>59</v>
      </c>
      <c r="I54" s="1828">
        <v>191</v>
      </c>
      <c r="J54" s="1828">
        <v>215</v>
      </c>
      <c r="K54" s="1829">
        <v>215</v>
      </c>
      <c r="L54" s="731">
        <v>2</v>
      </c>
      <c r="M54" s="728">
        <v>2</v>
      </c>
      <c r="N54" s="689">
        <v>1</v>
      </c>
      <c r="O54" s="689">
        <v>1</v>
      </c>
      <c r="P54" s="689">
        <v>1</v>
      </c>
      <c r="Q54" s="689">
        <v>1</v>
      </c>
      <c r="R54" s="690">
        <v>1</v>
      </c>
      <c r="S54" s="689" t="s">
        <v>1591</v>
      </c>
      <c r="T54" s="690" t="s">
        <v>1591</v>
      </c>
    </row>
    <row r="55" spans="1:20" ht="26.25" thickBot="1">
      <c r="A55" s="3386"/>
      <c r="B55" s="719" t="s">
        <v>478</v>
      </c>
      <c r="C55" s="700" t="s">
        <v>1092</v>
      </c>
      <c r="D55" s="688" t="s">
        <v>1055</v>
      </c>
      <c r="E55" s="2593">
        <v>36</v>
      </c>
      <c r="F55" s="1835">
        <v>36</v>
      </c>
      <c r="G55" s="1836">
        <v>36</v>
      </c>
      <c r="H55" s="1837">
        <v>60</v>
      </c>
      <c r="I55" s="1837">
        <v>192</v>
      </c>
      <c r="J55" s="1837">
        <v>216</v>
      </c>
      <c r="K55" s="1838">
        <v>216</v>
      </c>
      <c r="L55" s="731">
        <v>2</v>
      </c>
      <c r="M55" s="728">
        <v>2</v>
      </c>
      <c r="N55" s="692">
        <v>1</v>
      </c>
      <c r="O55" s="692">
        <v>1</v>
      </c>
      <c r="P55" s="692">
        <v>1</v>
      </c>
      <c r="Q55" s="692">
        <v>1</v>
      </c>
      <c r="R55" s="693">
        <v>1</v>
      </c>
      <c r="S55" s="692" t="s">
        <v>1591</v>
      </c>
      <c r="T55" s="693" t="s">
        <v>1591</v>
      </c>
    </row>
    <row r="56" spans="1:20" ht="38.25">
      <c r="A56" s="3384" t="s">
        <v>1141</v>
      </c>
      <c r="B56" s="714" t="s">
        <v>30</v>
      </c>
      <c r="C56" s="701" t="s">
        <v>1080</v>
      </c>
      <c r="D56" s="697" t="s">
        <v>1081</v>
      </c>
      <c r="E56" s="2597">
        <v>2336430</v>
      </c>
      <c r="F56" s="1845">
        <v>2336430</v>
      </c>
      <c r="G56" s="1828">
        <v>2157864</v>
      </c>
      <c r="H56" s="1828">
        <v>2068942</v>
      </c>
      <c r="I56" s="1828">
        <v>2318430</v>
      </c>
      <c r="J56" s="1828">
        <v>2725026</v>
      </c>
      <c r="K56" s="1829">
        <v>2643275</v>
      </c>
      <c r="L56" s="730">
        <v>4</v>
      </c>
      <c r="M56" s="727">
        <v>4</v>
      </c>
      <c r="N56" s="689">
        <v>3</v>
      </c>
      <c r="O56" s="689">
        <v>1</v>
      </c>
      <c r="P56" s="689">
        <v>1</v>
      </c>
      <c r="Q56" s="689">
        <v>1</v>
      </c>
      <c r="R56" s="690">
        <v>1</v>
      </c>
      <c r="S56" s="689" t="s">
        <v>1599</v>
      </c>
      <c r="T56" s="690" t="s">
        <v>1600</v>
      </c>
    </row>
    <row r="57" spans="1:20" ht="25.5">
      <c r="A57" s="3385"/>
      <c r="B57" s="712" t="s">
        <v>36</v>
      </c>
      <c r="C57" s="699" t="s">
        <v>1086</v>
      </c>
      <c r="D57" s="687" t="s">
        <v>1055</v>
      </c>
      <c r="E57" s="2592">
        <v>1669</v>
      </c>
      <c r="F57" s="1834">
        <v>1623</v>
      </c>
      <c r="G57" s="1832">
        <v>1294</v>
      </c>
      <c r="H57" s="1832">
        <v>1290</v>
      </c>
      <c r="I57" s="1832">
        <v>1739</v>
      </c>
      <c r="J57" s="1832">
        <v>2033</v>
      </c>
      <c r="K57" s="1833">
        <v>1886</v>
      </c>
      <c r="L57" s="731">
        <v>2</v>
      </c>
      <c r="M57" s="728">
        <v>1</v>
      </c>
      <c r="N57" s="684">
        <v>1</v>
      </c>
      <c r="O57" s="684">
        <v>1</v>
      </c>
      <c r="P57" s="684">
        <v>1</v>
      </c>
      <c r="Q57" s="684">
        <v>1</v>
      </c>
      <c r="R57" s="691">
        <v>1</v>
      </c>
      <c r="S57" s="684" t="s">
        <v>1601</v>
      </c>
      <c r="T57" s="691" t="s">
        <v>1600</v>
      </c>
    </row>
    <row r="58" spans="1:20" ht="25.5">
      <c r="A58" s="3385"/>
      <c r="B58" s="716" t="s">
        <v>43</v>
      </c>
      <c r="C58" s="702" t="s">
        <v>1094</v>
      </c>
      <c r="D58" s="687" t="s">
        <v>1055</v>
      </c>
      <c r="E58" s="2592">
        <v>4</v>
      </c>
      <c r="F58" s="1834">
        <v>3</v>
      </c>
      <c r="G58" s="1832">
        <v>4</v>
      </c>
      <c r="H58" s="1832">
        <v>4</v>
      </c>
      <c r="I58" s="1832">
        <v>4</v>
      </c>
      <c r="J58" s="1832">
        <v>25</v>
      </c>
      <c r="K58" s="1833">
        <v>25</v>
      </c>
      <c r="L58" s="731">
        <v>2</v>
      </c>
      <c r="M58" s="728">
        <v>1</v>
      </c>
      <c r="N58" s="684">
        <v>1</v>
      </c>
      <c r="O58" s="684">
        <v>1</v>
      </c>
      <c r="P58" s="684">
        <v>1</v>
      </c>
      <c r="Q58" s="684">
        <v>1</v>
      </c>
      <c r="R58" s="691">
        <v>1</v>
      </c>
      <c r="S58" s="684" t="s">
        <v>1601</v>
      </c>
      <c r="T58" s="691" t="s">
        <v>1600</v>
      </c>
    </row>
    <row r="59" spans="1:20" ht="25.5">
      <c r="A59" s="3385"/>
      <c r="B59" s="716" t="s">
        <v>44</v>
      </c>
      <c r="C59" s="702" t="s">
        <v>1096</v>
      </c>
      <c r="D59" s="687" t="s">
        <v>1055</v>
      </c>
      <c r="E59" s="2592">
        <v>9</v>
      </c>
      <c r="F59" s="1834">
        <v>8</v>
      </c>
      <c r="G59" s="1832">
        <v>10</v>
      </c>
      <c r="H59" s="1832">
        <v>10</v>
      </c>
      <c r="I59" s="1832">
        <v>10</v>
      </c>
      <c r="J59" s="1832">
        <v>18</v>
      </c>
      <c r="K59" s="1833">
        <v>17</v>
      </c>
      <c r="L59" s="731">
        <v>2</v>
      </c>
      <c r="M59" s="728">
        <v>1</v>
      </c>
      <c r="N59" s="684">
        <v>1</v>
      </c>
      <c r="O59" s="684">
        <v>1</v>
      </c>
      <c r="P59" s="684">
        <v>1</v>
      </c>
      <c r="Q59" s="684">
        <v>1</v>
      </c>
      <c r="R59" s="691">
        <v>1</v>
      </c>
      <c r="S59" s="684" t="s">
        <v>1601</v>
      </c>
      <c r="T59" s="691" t="s">
        <v>1600</v>
      </c>
    </row>
    <row r="60" spans="1:20" ht="26.25" thickBot="1">
      <c r="A60" s="3386"/>
      <c r="B60" s="720" t="s">
        <v>45</v>
      </c>
      <c r="C60" s="703" t="s">
        <v>1095</v>
      </c>
      <c r="D60" s="688" t="s">
        <v>1055</v>
      </c>
      <c r="E60" s="2598">
        <v>100</v>
      </c>
      <c r="F60" s="1846">
        <v>99</v>
      </c>
      <c r="G60" s="1837">
        <v>92</v>
      </c>
      <c r="H60" s="1837">
        <v>92</v>
      </c>
      <c r="I60" s="1837">
        <v>100</v>
      </c>
      <c r="J60" s="1837">
        <v>98</v>
      </c>
      <c r="K60" s="1838">
        <v>95</v>
      </c>
      <c r="L60" s="732">
        <v>2</v>
      </c>
      <c r="M60" s="729">
        <v>1</v>
      </c>
      <c r="N60" s="692">
        <v>1</v>
      </c>
      <c r="O60" s="692">
        <v>1</v>
      </c>
      <c r="P60" s="692">
        <v>1</v>
      </c>
      <c r="Q60" s="692">
        <v>1</v>
      </c>
      <c r="R60" s="693">
        <v>1</v>
      </c>
      <c r="S60" s="692" t="s">
        <v>1601</v>
      </c>
      <c r="T60" s="693" t="s">
        <v>1600</v>
      </c>
    </row>
    <row r="61" spans="1:20" ht="38.25">
      <c r="A61" s="3384" t="s">
        <v>1146</v>
      </c>
      <c r="B61" s="714" t="s">
        <v>49</v>
      </c>
      <c r="C61" s="701" t="s">
        <v>1082</v>
      </c>
      <c r="D61" s="697" t="s">
        <v>1486</v>
      </c>
      <c r="E61" s="2599">
        <f>'4. Отчет и прогн. потребление'!D10</f>
        <v>29273588</v>
      </c>
      <c r="F61" s="2449">
        <f>'4. Отчет и прогн. потребление'!E10</f>
        <v>28149194</v>
      </c>
      <c r="G61" s="2450">
        <f>'4. Отчет и прогн. потребление'!F10</f>
        <v>27308379</v>
      </c>
      <c r="H61" s="2450">
        <f>'4. Отчет и прогн. потребление'!G10</f>
        <v>26099749</v>
      </c>
      <c r="I61" s="2450">
        <f>'4. Отчет и прогн. потребление'!H10</f>
        <v>26278046</v>
      </c>
      <c r="J61" s="2450">
        <f>'4. Отчет и прогн. потребление'!I10</f>
        <v>31127240</v>
      </c>
      <c r="K61" s="2451">
        <f>'4. Отчет и прогн. потребление'!J10</f>
        <v>30343625</v>
      </c>
      <c r="L61" s="763">
        <v>2</v>
      </c>
      <c r="M61" s="727">
        <v>2</v>
      </c>
      <c r="N61" s="689">
        <v>1</v>
      </c>
      <c r="O61" s="689">
        <v>1</v>
      </c>
      <c r="P61" s="689">
        <v>1</v>
      </c>
      <c r="Q61" s="689">
        <v>1</v>
      </c>
      <c r="R61" s="690">
        <v>1</v>
      </c>
      <c r="S61" s="689" t="s">
        <v>1591</v>
      </c>
      <c r="T61" s="690" t="s">
        <v>1602</v>
      </c>
    </row>
    <row r="62" spans="1:20" ht="42" customHeight="1">
      <c r="A62" s="3385"/>
      <c r="B62" s="712" t="s">
        <v>1053</v>
      </c>
      <c r="C62" s="702" t="s">
        <v>1084</v>
      </c>
      <c r="D62" s="687" t="s">
        <v>1486</v>
      </c>
      <c r="E62" s="2600">
        <f>'4. Отчет и прогн. потребление'!D21</f>
        <v>10563162</v>
      </c>
      <c r="F62" s="2461">
        <f>'4. Отчет и прогн. потребление'!E21</f>
        <v>10448161</v>
      </c>
      <c r="G62" s="2462">
        <f>'4. Отчет и прогн. потребление'!F21</f>
        <v>10555293</v>
      </c>
      <c r="H62" s="2462">
        <f>'4. Отчет и прогн. потребление'!G21</f>
        <v>10587899</v>
      </c>
      <c r="I62" s="2462">
        <f>'4. Отчет и прогн. потребление'!H21</f>
        <v>10773999</v>
      </c>
      <c r="J62" s="2462">
        <f>'4. Отчет и прогн. потребление'!I21</f>
        <v>13156577</v>
      </c>
      <c r="K62" s="2463">
        <f>'4. Отчет и прогн. потребление'!J21</f>
        <v>13092871</v>
      </c>
      <c r="L62" s="764">
        <v>1</v>
      </c>
      <c r="M62" s="728">
        <v>1</v>
      </c>
      <c r="N62" s="684">
        <v>1</v>
      </c>
      <c r="O62" s="684">
        <v>1</v>
      </c>
      <c r="P62" s="684">
        <v>1</v>
      </c>
      <c r="Q62" s="684">
        <v>1</v>
      </c>
      <c r="R62" s="691">
        <v>1</v>
      </c>
      <c r="S62" s="684" t="s">
        <v>1603</v>
      </c>
      <c r="T62" s="691" t="s">
        <v>1589</v>
      </c>
    </row>
    <row r="63" spans="1:20" ht="45.75" customHeight="1">
      <c r="A63" s="3385"/>
      <c r="B63" s="712" t="s">
        <v>1054</v>
      </c>
      <c r="C63" s="702" t="s">
        <v>1083</v>
      </c>
      <c r="D63" s="687" t="s">
        <v>1486</v>
      </c>
      <c r="E63" s="2601">
        <f>'4. Отчет и прогн. потребление'!D48</f>
        <v>18710426</v>
      </c>
      <c r="F63" s="2461">
        <f>'4. Отчет и прогн. потребление'!E48</f>
        <v>17701033</v>
      </c>
      <c r="G63" s="2462">
        <f>'4. Отчет и прогн. потребление'!F48</f>
        <v>16753086</v>
      </c>
      <c r="H63" s="2462">
        <f>'4. Отчет и прогн. потребление'!G48</f>
        <v>15511850</v>
      </c>
      <c r="I63" s="2462">
        <f>'4. Отчет и прогн. потребление'!H48</f>
        <v>15504047</v>
      </c>
      <c r="J63" s="2462">
        <f>'4. Отчет и прогн. потребление'!I48</f>
        <v>17970663</v>
      </c>
      <c r="K63" s="2463">
        <f>'4. Отчет и прогн. потребление'!J48</f>
        <v>17250754</v>
      </c>
      <c r="L63" s="764">
        <v>2</v>
      </c>
      <c r="M63" s="728">
        <v>2</v>
      </c>
      <c r="N63" s="684">
        <v>1</v>
      </c>
      <c r="O63" s="684">
        <v>1</v>
      </c>
      <c r="P63" s="684">
        <v>1</v>
      </c>
      <c r="Q63" s="684">
        <v>1</v>
      </c>
      <c r="R63" s="691">
        <v>1</v>
      </c>
      <c r="S63" s="684" t="s">
        <v>1591</v>
      </c>
      <c r="T63" s="691" t="s">
        <v>1604</v>
      </c>
    </row>
    <row r="64" spans="1:20" ht="26.25" thickBot="1">
      <c r="A64" s="3385"/>
      <c r="B64" s="1354" t="s">
        <v>51</v>
      </c>
      <c r="C64" s="1355" t="s">
        <v>1101</v>
      </c>
      <c r="D64" s="1356" t="s">
        <v>1486</v>
      </c>
      <c r="E64" s="2598">
        <v>10928064</v>
      </c>
      <c r="F64" s="1846">
        <v>10970000</v>
      </c>
      <c r="G64" s="1846">
        <v>10928064</v>
      </c>
      <c r="H64" s="1846">
        <v>11114000</v>
      </c>
      <c r="I64" s="1846">
        <v>13684500</v>
      </c>
      <c r="J64" s="1846">
        <v>13807000</v>
      </c>
      <c r="K64" s="1846">
        <v>13807000</v>
      </c>
      <c r="L64" s="1357">
        <v>3</v>
      </c>
      <c r="M64" s="1358">
        <v>3</v>
      </c>
      <c r="N64" s="1359">
        <v>2</v>
      </c>
      <c r="O64" s="1359">
        <v>1</v>
      </c>
      <c r="P64" s="1359">
        <v>1</v>
      </c>
      <c r="Q64" s="1359">
        <v>1</v>
      </c>
      <c r="R64" s="1360">
        <v>1</v>
      </c>
      <c r="S64" s="1359" t="s">
        <v>1605</v>
      </c>
      <c r="T64" s="1360" t="s">
        <v>1606</v>
      </c>
    </row>
    <row r="65" spans="1:20" ht="25.5">
      <c r="A65" s="3387" t="s">
        <v>1180</v>
      </c>
      <c r="B65" s="1364"/>
      <c r="C65" s="698" t="s">
        <v>1176</v>
      </c>
      <c r="D65" s="697" t="s">
        <v>1055</v>
      </c>
      <c r="E65" s="2597">
        <v>29</v>
      </c>
      <c r="F65" s="1845">
        <v>30</v>
      </c>
      <c r="G65" s="1828">
        <v>96</v>
      </c>
      <c r="H65" s="1828">
        <v>110</v>
      </c>
      <c r="I65" s="1828">
        <v>115</v>
      </c>
      <c r="J65" s="1828">
        <v>120</v>
      </c>
      <c r="K65" s="1829">
        <v>126</v>
      </c>
      <c r="L65" s="730">
        <v>2</v>
      </c>
      <c r="M65" s="727">
        <v>2</v>
      </c>
      <c r="N65" s="689">
        <v>1</v>
      </c>
      <c r="O65" s="689">
        <v>1</v>
      </c>
      <c r="P65" s="689">
        <v>1</v>
      </c>
      <c r="Q65" s="689">
        <v>1</v>
      </c>
      <c r="R65" s="1372">
        <v>1</v>
      </c>
      <c r="S65" s="730" t="s">
        <v>1591</v>
      </c>
      <c r="T65" s="763" t="s">
        <v>1595</v>
      </c>
    </row>
    <row r="66" spans="1:20" ht="25.5">
      <c r="A66" s="3388"/>
      <c r="B66" s="1365"/>
      <c r="C66" s="699" t="s">
        <v>1373</v>
      </c>
      <c r="D66" s="687" t="s">
        <v>226</v>
      </c>
      <c r="E66" s="2602">
        <v>0.12</v>
      </c>
      <c r="F66" s="1847">
        <v>0.12</v>
      </c>
      <c r="G66" s="1848">
        <v>0.13</v>
      </c>
      <c r="H66" s="1848">
        <v>0.14000000000000001</v>
      </c>
      <c r="I66" s="1848">
        <v>0.15</v>
      </c>
      <c r="J66" s="1848">
        <v>0.16</v>
      </c>
      <c r="K66" s="1849">
        <v>0.17</v>
      </c>
      <c r="L66" s="3170"/>
      <c r="M66" s="3171"/>
      <c r="N66" s="3172"/>
      <c r="O66" s="684"/>
      <c r="P66" s="684"/>
      <c r="Q66" s="684"/>
      <c r="R66" s="1373"/>
      <c r="S66" s="731"/>
      <c r="T66" s="764"/>
    </row>
    <row r="67" spans="1:20" ht="51">
      <c r="A67" s="3388"/>
      <c r="B67" s="1365"/>
      <c r="C67" s="699" t="s">
        <v>1374</v>
      </c>
      <c r="D67" s="687" t="s">
        <v>226</v>
      </c>
      <c r="E67" s="2602">
        <v>0.71</v>
      </c>
      <c r="F67" s="1847">
        <v>0.71</v>
      </c>
      <c r="G67" s="1848">
        <v>0.71</v>
      </c>
      <c r="H67" s="1848">
        <v>0.72</v>
      </c>
      <c r="I67" s="1848">
        <v>0.73</v>
      </c>
      <c r="J67" s="1848">
        <v>0.74</v>
      </c>
      <c r="K67" s="1849">
        <v>0.75</v>
      </c>
      <c r="L67" s="3170"/>
      <c r="M67" s="3171"/>
      <c r="N67" s="3172"/>
      <c r="O67" s="684"/>
      <c r="P67" s="684"/>
      <c r="Q67" s="684"/>
      <c r="R67" s="1373"/>
      <c r="S67" s="731"/>
      <c r="T67" s="764"/>
    </row>
    <row r="68" spans="1:20">
      <c r="A68" s="3388"/>
      <c r="B68" s="1365"/>
      <c r="C68" s="699" t="s">
        <v>1371</v>
      </c>
      <c r="D68" s="687" t="s">
        <v>226</v>
      </c>
      <c r="E68" s="2602">
        <v>0.17</v>
      </c>
      <c r="F68" s="1847">
        <v>0.17</v>
      </c>
      <c r="G68" s="1848">
        <v>0.16</v>
      </c>
      <c r="H68" s="1848">
        <v>0.14000000000000001</v>
      </c>
      <c r="I68" s="1848">
        <v>0.12</v>
      </c>
      <c r="J68" s="1848">
        <v>0.1</v>
      </c>
      <c r="K68" s="1849">
        <v>0.08</v>
      </c>
      <c r="L68" s="3170"/>
      <c r="M68" s="3171"/>
      <c r="N68" s="3172"/>
      <c r="O68" s="684"/>
      <c r="P68" s="684"/>
      <c r="Q68" s="684"/>
      <c r="R68" s="1373"/>
      <c r="S68" s="731"/>
      <c r="T68" s="764"/>
    </row>
    <row r="69" spans="1:20">
      <c r="A69" s="3388"/>
      <c r="B69" s="1366"/>
      <c r="C69" s="1367" t="s">
        <v>1372</v>
      </c>
      <c r="D69" s="1370" t="s">
        <v>226</v>
      </c>
      <c r="E69" s="2603">
        <f>SUM(E66:E68)</f>
        <v>1</v>
      </c>
      <c r="F69" s="2470">
        <f t="shared" ref="F69:K69" si="9">SUM(F66:F68)</f>
        <v>1</v>
      </c>
      <c r="G69" s="2471">
        <f t="shared" si="9"/>
        <v>1</v>
      </c>
      <c r="H69" s="2471">
        <f t="shared" si="9"/>
        <v>1</v>
      </c>
      <c r="I69" s="2471">
        <f t="shared" si="9"/>
        <v>1</v>
      </c>
      <c r="J69" s="2471">
        <f t="shared" si="9"/>
        <v>1</v>
      </c>
      <c r="K69" s="2472">
        <f t="shared" si="9"/>
        <v>1</v>
      </c>
      <c r="L69" s="3176"/>
      <c r="M69" s="3177"/>
      <c r="N69" s="3178"/>
      <c r="O69" s="1363"/>
      <c r="P69" s="1363"/>
      <c r="Q69" s="1363"/>
      <c r="R69" s="1374"/>
      <c r="S69" s="1371"/>
      <c r="T69" s="1376"/>
    </row>
    <row r="70" spans="1:20" ht="25.5">
      <c r="A70" s="3388"/>
      <c r="B70" s="1365"/>
      <c r="C70" s="699" t="s">
        <v>1177</v>
      </c>
      <c r="D70" s="687" t="s">
        <v>1055</v>
      </c>
      <c r="E70" s="2592">
        <v>4</v>
      </c>
      <c r="F70" s="1834">
        <v>6</v>
      </c>
      <c r="G70" s="1832">
        <v>25</v>
      </c>
      <c r="H70" s="1832">
        <v>39</v>
      </c>
      <c r="I70" s="1832">
        <v>44</v>
      </c>
      <c r="J70" s="1832">
        <v>46</v>
      </c>
      <c r="K70" s="1833">
        <v>50</v>
      </c>
      <c r="L70" s="731">
        <v>2</v>
      </c>
      <c r="M70" s="728">
        <v>2</v>
      </c>
      <c r="N70" s="684">
        <v>1</v>
      </c>
      <c r="O70" s="684">
        <v>1</v>
      </c>
      <c r="P70" s="684">
        <v>1</v>
      </c>
      <c r="Q70" s="684">
        <v>1</v>
      </c>
      <c r="R70" s="1373">
        <v>1</v>
      </c>
      <c r="S70" s="731" t="s">
        <v>1596</v>
      </c>
      <c r="T70" s="764" t="s">
        <v>1595</v>
      </c>
    </row>
    <row r="71" spans="1:20" ht="51">
      <c r="A71" s="3388"/>
      <c r="B71" s="1365" t="s">
        <v>1011</v>
      </c>
      <c r="C71" s="699" t="s">
        <v>1400</v>
      </c>
      <c r="D71" s="687" t="s">
        <v>1055</v>
      </c>
      <c r="E71" s="2592">
        <v>4</v>
      </c>
      <c r="F71" s="1834">
        <v>4</v>
      </c>
      <c r="G71" s="1832">
        <v>4</v>
      </c>
      <c r="H71" s="1832">
        <v>30</v>
      </c>
      <c r="I71" s="1832">
        <v>52</v>
      </c>
      <c r="J71" s="1832">
        <v>101</v>
      </c>
      <c r="K71" s="1833">
        <v>140</v>
      </c>
      <c r="L71" s="731">
        <v>2</v>
      </c>
      <c r="M71" s="728">
        <v>2</v>
      </c>
      <c r="N71" s="684">
        <v>1</v>
      </c>
      <c r="O71" s="684">
        <v>1</v>
      </c>
      <c r="P71" s="684">
        <v>1</v>
      </c>
      <c r="Q71" s="684">
        <v>1</v>
      </c>
      <c r="R71" s="1373">
        <v>1</v>
      </c>
      <c r="S71" s="731" t="s">
        <v>1596</v>
      </c>
      <c r="T71" s="764" t="s">
        <v>1595</v>
      </c>
    </row>
    <row r="72" spans="1:20" ht="38.25">
      <c r="A72" s="3388"/>
      <c r="B72" s="1368" t="s">
        <v>1114</v>
      </c>
      <c r="C72" s="699" t="s">
        <v>1122</v>
      </c>
      <c r="D72" s="687" t="s">
        <v>1055</v>
      </c>
      <c r="E72" s="2592">
        <v>7149</v>
      </c>
      <c r="F72" s="1834">
        <v>8000</v>
      </c>
      <c r="G72" s="1832">
        <v>8500</v>
      </c>
      <c r="H72" s="1832">
        <v>8500</v>
      </c>
      <c r="I72" s="1832">
        <v>9225</v>
      </c>
      <c r="J72" s="1832">
        <v>9700</v>
      </c>
      <c r="K72" s="1833">
        <v>10750</v>
      </c>
      <c r="L72" s="731">
        <v>2</v>
      </c>
      <c r="M72" s="728">
        <v>2</v>
      </c>
      <c r="N72" s="684">
        <v>1</v>
      </c>
      <c r="O72" s="684">
        <v>1</v>
      </c>
      <c r="P72" s="684">
        <v>1</v>
      </c>
      <c r="Q72" s="684">
        <v>1</v>
      </c>
      <c r="R72" s="1373">
        <v>1</v>
      </c>
      <c r="S72" s="731" t="s">
        <v>1607</v>
      </c>
      <c r="T72" s="764" t="s">
        <v>1608</v>
      </c>
    </row>
    <row r="73" spans="1:20" ht="25.5">
      <c r="A73" s="3388"/>
      <c r="B73" s="1368" t="s">
        <v>1120</v>
      </c>
      <c r="C73" s="699" t="s">
        <v>1121</v>
      </c>
      <c r="D73" s="687" t="s">
        <v>1055</v>
      </c>
      <c r="E73" s="2592">
        <v>26613</v>
      </c>
      <c r="F73" s="1834">
        <v>28731</v>
      </c>
      <c r="G73" s="1832">
        <v>33829</v>
      </c>
      <c r="H73" s="1832">
        <v>34520</v>
      </c>
      <c r="I73" s="1832">
        <v>46602</v>
      </c>
      <c r="J73" s="1832">
        <v>49533</v>
      </c>
      <c r="K73" s="1833">
        <v>52436</v>
      </c>
      <c r="L73" s="731">
        <v>3</v>
      </c>
      <c r="M73" s="728">
        <v>2</v>
      </c>
      <c r="N73" s="684">
        <v>1</v>
      </c>
      <c r="O73" s="684">
        <v>1</v>
      </c>
      <c r="P73" s="684">
        <v>1</v>
      </c>
      <c r="Q73" s="684">
        <v>1</v>
      </c>
      <c r="R73" s="1373">
        <v>1</v>
      </c>
      <c r="S73" s="731" t="s">
        <v>1603</v>
      </c>
      <c r="T73" s="691" t="s">
        <v>1589</v>
      </c>
    </row>
    <row r="74" spans="1:20">
      <c r="A74" s="3388"/>
      <c r="B74" s="1368"/>
      <c r="C74" s="699" t="s">
        <v>1178</v>
      </c>
      <c r="D74" s="687" t="s">
        <v>1055</v>
      </c>
      <c r="E74" s="2592">
        <v>4</v>
      </c>
      <c r="F74" s="1834">
        <v>4</v>
      </c>
      <c r="G74" s="1832">
        <v>4</v>
      </c>
      <c r="H74" s="1832">
        <v>8</v>
      </c>
      <c r="I74" s="1832">
        <v>30</v>
      </c>
      <c r="J74" s="1832">
        <v>34</v>
      </c>
      <c r="K74" s="1833">
        <v>34</v>
      </c>
      <c r="L74" s="731">
        <v>2</v>
      </c>
      <c r="M74" s="728">
        <v>1</v>
      </c>
      <c r="N74" s="684">
        <v>1</v>
      </c>
      <c r="O74" s="684">
        <v>1</v>
      </c>
      <c r="P74" s="684">
        <v>1</v>
      </c>
      <c r="Q74" s="684">
        <v>1</v>
      </c>
      <c r="R74" s="1373">
        <v>1</v>
      </c>
      <c r="S74" s="731" t="s">
        <v>1591</v>
      </c>
      <c r="T74" s="764" t="s">
        <v>1609</v>
      </c>
    </row>
    <row r="75" spans="1:20" ht="13.5" thickBot="1">
      <c r="A75" s="3389"/>
      <c r="B75" s="1369"/>
      <c r="C75" s="707" t="s">
        <v>1179</v>
      </c>
      <c r="D75" s="2534" t="s">
        <v>1055</v>
      </c>
      <c r="E75" s="2598">
        <v>0</v>
      </c>
      <c r="F75" s="1846">
        <v>0</v>
      </c>
      <c r="G75" s="1837">
        <v>0</v>
      </c>
      <c r="H75" s="1837">
        <v>0</v>
      </c>
      <c r="I75" s="1837">
        <v>0</v>
      </c>
      <c r="J75" s="1837">
        <v>0</v>
      </c>
      <c r="K75" s="1838">
        <v>0</v>
      </c>
      <c r="L75" s="3173"/>
      <c r="M75" s="3174"/>
      <c r="N75" s="3175"/>
      <c r="O75" s="692"/>
      <c r="P75" s="692">
        <v>1</v>
      </c>
      <c r="Q75" s="692">
        <v>1</v>
      </c>
      <c r="R75" s="1375">
        <v>1</v>
      </c>
      <c r="S75" s="732"/>
      <c r="T75" s="762" t="s">
        <v>1609</v>
      </c>
    </row>
    <row r="76" spans="1:20" ht="24.75" customHeight="1">
      <c r="A76" s="3385" t="s">
        <v>1144</v>
      </c>
      <c r="B76" s="765" t="s">
        <v>54</v>
      </c>
      <c r="C76" s="766" t="s">
        <v>1102</v>
      </c>
      <c r="D76" s="686" t="s">
        <v>1085</v>
      </c>
      <c r="E76" s="2604">
        <v>14</v>
      </c>
      <c r="F76" s="1850">
        <v>15</v>
      </c>
      <c r="G76" s="1841">
        <v>15</v>
      </c>
      <c r="H76" s="1841">
        <v>15</v>
      </c>
      <c r="I76" s="1841">
        <v>17</v>
      </c>
      <c r="J76" s="1841">
        <v>23</v>
      </c>
      <c r="K76" s="1842">
        <v>23</v>
      </c>
      <c r="L76" s="1361">
        <v>2</v>
      </c>
      <c r="M76" s="1362">
        <v>2</v>
      </c>
      <c r="N76" s="1352">
        <v>2</v>
      </c>
      <c r="O76" s="1352">
        <v>1</v>
      </c>
      <c r="P76" s="1352">
        <v>1</v>
      </c>
      <c r="Q76" s="1352">
        <v>1</v>
      </c>
      <c r="R76" s="1353">
        <v>1</v>
      </c>
      <c r="S76" s="1352" t="s">
        <v>1596</v>
      </c>
      <c r="T76" s="1353" t="s">
        <v>1592</v>
      </c>
    </row>
    <row r="77" spans="1:20" ht="51.75" thickBot="1">
      <c r="A77" s="3386"/>
      <c r="B77" s="719" t="s">
        <v>1112</v>
      </c>
      <c r="C77" s="700" t="s">
        <v>1143</v>
      </c>
      <c r="D77" s="688" t="s">
        <v>1085</v>
      </c>
      <c r="E77" s="2598">
        <v>3</v>
      </c>
      <c r="F77" s="1846">
        <v>5</v>
      </c>
      <c r="G77" s="1837">
        <v>7</v>
      </c>
      <c r="H77" s="1837">
        <v>10</v>
      </c>
      <c r="I77" s="1837">
        <v>14</v>
      </c>
      <c r="J77" s="1837">
        <v>16</v>
      </c>
      <c r="K77" s="1838">
        <v>18</v>
      </c>
      <c r="L77" s="732">
        <v>4</v>
      </c>
      <c r="M77" s="729">
        <v>3</v>
      </c>
      <c r="N77" s="692">
        <v>2</v>
      </c>
      <c r="O77" s="692">
        <v>1</v>
      </c>
      <c r="P77" s="692">
        <v>1</v>
      </c>
      <c r="Q77" s="692">
        <v>1</v>
      </c>
      <c r="R77" s="693">
        <v>1</v>
      </c>
      <c r="S77" s="692" t="s">
        <v>1610</v>
      </c>
      <c r="T77" s="693" t="s">
        <v>1611</v>
      </c>
    </row>
    <row r="78" spans="1:20" ht="25.5">
      <c r="A78" s="3390" t="s">
        <v>1145</v>
      </c>
      <c r="B78" s="721" t="s">
        <v>48</v>
      </c>
      <c r="C78" s="698" t="s">
        <v>1099</v>
      </c>
      <c r="D78" s="697" t="s">
        <v>503</v>
      </c>
      <c r="E78" s="2605">
        <f>'6. Ел.Енергия'!C12</f>
        <v>1276342</v>
      </c>
      <c r="F78" s="2464">
        <f>'6. Ел.Енергия'!D12</f>
        <v>1545054</v>
      </c>
      <c r="G78" s="2465">
        <f>'6. Ел.Енергия'!E12</f>
        <v>1820407</v>
      </c>
      <c r="H78" s="2465">
        <f>'6. Ел.Енергия'!F12</f>
        <v>1715500</v>
      </c>
      <c r="I78" s="2465">
        <f>'6. Ел.Енергия'!G12</f>
        <v>1710000</v>
      </c>
      <c r="J78" s="2465">
        <f>'6. Ел.Енергия'!H12</f>
        <v>3519250</v>
      </c>
      <c r="K78" s="2466">
        <f>'6. Ел.Енергия'!I12</f>
        <v>3306269</v>
      </c>
      <c r="L78" s="730">
        <v>2</v>
      </c>
      <c r="M78" s="727">
        <v>2</v>
      </c>
      <c r="N78" s="689">
        <v>1</v>
      </c>
      <c r="O78" s="689">
        <v>1</v>
      </c>
      <c r="P78" s="689">
        <v>1</v>
      </c>
      <c r="Q78" s="689">
        <v>1</v>
      </c>
      <c r="R78" s="690">
        <v>1</v>
      </c>
      <c r="S78" s="689" t="s">
        <v>1612</v>
      </c>
      <c r="T78" s="690" t="s">
        <v>1613</v>
      </c>
    </row>
    <row r="79" spans="1:20" ht="26.25" thickBot="1">
      <c r="A79" s="3391"/>
      <c r="B79" s="722" t="s">
        <v>50</v>
      </c>
      <c r="C79" s="700" t="s">
        <v>1376</v>
      </c>
      <c r="D79" s="688" t="s">
        <v>503</v>
      </c>
      <c r="E79" s="2606">
        <f>'6. Ел.Енергия'!C37</f>
        <v>2099937</v>
      </c>
      <c r="F79" s="2467">
        <f>'6. Ел.Енергия'!D37</f>
        <v>1871556</v>
      </c>
      <c r="G79" s="2468">
        <f>'6. Ел.Енергия'!E37</f>
        <v>2022920</v>
      </c>
      <c r="H79" s="2468">
        <f>'6. Ел.Енергия'!F37</f>
        <v>2090644</v>
      </c>
      <c r="I79" s="2468">
        <f>'6. Ел.Енергия'!G37</f>
        <v>3604710</v>
      </c>
      <c r="J79" s="2468">
        <f>'6. Ел.Енергия'!H37</f>
        <v>3794951</v>
      </c>
      <c r="K79" s="2469">
        <f>'6. Ел.Енергия'!I37</f>
        <v>3710000</v>
      </c>
      <c r="L79" s="732">
        <v>2</v>
      </c>
      <c r="M79" s="729">
        <v>2</v>
      </c>
      <c r="N79" s="692">
        <v>1</v>
      </c>
      <c r="O79" s="692">
        <v>1</v>
      </c>
      <c r="P79" s="692">
        <v>1</v>
      </c>
      <c r="Q79" s="692">
        <v>1</v>
      </c>
      <c r="R79" s="693">
        <v>1</v>
      </c>
      <c r="S79" s="692" t="s">
        <v>1612</v>
      </c>
      <c r="T79" s="693" t="s">
        <v>1613</v>
      </c>
    </row>
    <row r="80" spans="1:20" ht="38.25">
      <c r="A80" s="3390" t="s">
        <v>1147</v>
      </c>
      <c r="B80" s="711" t="s">
        <v>52</v>
      </c>
      <c r="C80" s="698" t="s">
        <v>1100</v>
      </c>
      <c r="D80" s="697" t="s">
        <v>805</v>
      </c>
      <c r="E80" s="2597">
        <v>428</v>
      </c>
      <c r="F80" s="2449">
        <f>'7. Утайки от ПСОВ'!D18+'7. Утайки от ПСОВ'!E17</f>
        <v>536</v>
      </c>
      <c r="G80" s="2450">
        <f>'7. Утайки от ПСОВ'!E18+'7. Утайки от ПСОВ'!F17</f>
        <v>600</v>
      </c>
      <c r="H80" s="2450">
        <f>'7. Утайки от ПСОВ'!F18+'7. Утайки от ПСОВ'!G17</f>
        <v>450</v>
      </c>
      <c r="I80" s="2450">
        <f>'7. Утайки от ПСОВ'!G18+'7. Утайки от ПСОВ'!H17</f>
        <v>600</v>
      </c>
      <c r="J80" s="2450">
        <f>'7. Утайки от ПСОВ'!H18+'7. Утайки от ПСОВ'!I17</f>
        <v>650</v>
      </c>
      <c r="K80" s="2451">
        <f>'7. Утайки от ПСОВ'!I18+'7. Утайки от ПСОВ'!J17</f>
        <v>650</v>
      </c>
      <c r="L80" s="730">
        <v>3</v>
      </c>
      <c r="M80" s="727">
        <v>3</v>
      </c>
      <c r="N80" s="689">
        <v>3</v>
      </c>
      <c r="O80" s="689">
        <v>1</v>
      </c>
      <c r="P80" s="689">
        <v>1</v>
      </c>
      <c r="Q80" s="689">
        <v>1</v>
      </c>
      <c r="R80" s="690">
        <v>1</v>
      </c>
      <c r="S80" s="689" t="s">
        <v>1605</v>
      </c>
      <c r="T80" s="690" t="s">
        <v>1614</v>
      </c>
    </row>
    <row r="81" spans="1:20" ht="39" thickBot="1">
      <c r="A81" s="3391"/>
      <c r="B81" s="719" t="s">
        <v>53</v>
      </c>
      <c r="C81" s="700" t="s">
        <v>1110</v>
      </c>
      <c r="D81" s="688" t="s">
        <v>805</v>
      </c>
      <c r="E81" s="2598">
        <v>292</v>
      </c>
      <c r="F81" s="2452">
        <f>'7. Утайки от ПСОВ'!D13</f>
        <v>583</v>
      </c>
      <c r="G81" s="2453">
        <f>'7. Утайки от ПСОВ'!E13</f>
        <v>583</v>
      </c>
      <c r="H81" s="2453">
        <f>'7. Утайки от ПСОВ'!F13</f>
        <v>583</v>
      </c>
      <c r="I81" s="2453">
        <f>'7. Утайки от ПСОВ'!G13</f>
        <v>615.6</v>
      </c>
      <c r="J81" s="2453">
        <f>'7. Утайки от ПСОВ'!H13</f>
        <v>686</v>
      </c>
      <c r="K81" s="2454">
        <f>'7. Утайки от ПСОВ'!I13</f>
        <v>689</v>
      </c>
      <c r="L81" s="732">
        <v>3</v>
      </c>
      <c r="M81" s="729">
        <v>3</v>
      </c>
      <c r="N81" s="692">
        <v>3</v>
      </c>
      <c r="O81" s="692">
        <v>1</v>
      </c>
      <c r="P81" s="692">
        <v>1</v>
      </c>
      <c r="Q81" s="692">
        <v>1</v>
      </c>
      <c r="R81" s="693">
        <v>1</v>
      </c>
      <c r="S81" s="692" t="s">
        <v>1605</v>
      </c>
      <c r="T81" s="693" t="s">
        <v>1614</v>
      </c>
    </row>
    <row r="82" spans="1:20" ht="25.5">
      <c r="A82" s="3384" t="s">
        <v>1148</v>
      </c>
      <c r="B82" s="721" t="s">
        <v>56</v>
      </c>
      <c r="C82" s="701" t="s">
        <v>1104</v>
      </c>
      <c r="D82" s="697" t="s">
        <v>1103</v>
      </c>
      <c r="E82" s="2592">
        <v>9922643</v>
      </c>
      <c r="F82" s="1832">
        <v>9806000</v>
      </c>
      <c r="G82" s="2450">
        <f>'16. Необходими приходи'!F11*1000</f>
        <v>12278807.527325241</v>
      </c>
      <c r="H82" s="2450">
        <f>'16. Необходими приходи'!G11*1000</f>
        <v>13106606.402167195</v>
      </c>
      <c r="I82" s="2450">
        <f>'16. Необходими приходи'!H11*1000</f>
        <v>13619566.410499126</v>
      </c>
      <c r="J82" s="2450">
        <f>'16. Необходими приходи'!I11*1000</f>
        <v>16641057.097249893</v>
      </c>
      <c r="K82" s="2450">
        <f>'16. Необходими приходи'!J11*1000</f>
        <v>16713112.904263282</v>
      </c>
      <c r="L82" s="730">
        <v>1</v>
      </c>
      <c r="M82" s="727">
        <v>1</v>
      </c>
      <c r="N82" s="689">
        <v>1</v>
      </c>
      <c r="O82" s="689">
        <v>1</v>
      </c>
      <c r="P82" s="689">
        <v>1</v>
      </c>
      <c r="Q82" s="689">
        <v>1</v>
      </c>
      <c r="R82" s="690">
        <v>1</v>
      </c>
      <c r="S82" s="689" t="s">
        <v>1615</v>
      </c>
      <c r="T82" s="690" t="s">
        <v>1616</v>
      </c>
    </row>
    <row r="83" spans="1:20" ht="25.5">
      <c r="A83" s="3385"/>
      <c r="B83" s="723" t="s">
        <v>57</v>
      </c>
      <c r="C83" s="702" t="s">
        <v>1105</v>
      </c>
      <c r="D83" s="687" t="s">
        <v>1103</v>
      </c>
      <c r="E83" s="2600">
        <f>'12. Разходи'!C84*1000</f>
        <v>10741000</v>
      </c>
      <c r="F83" s="2461">
        <f>'12. Разходи'!D84*1000</f>
        <v>11751650</v>
      </c>
      <c r="G83" s="2462">
        <f>'12. Разходи'!E84*1000</f>
        <v>11569740.501294103</v>
      </c>
      <c r="H83" s="2462">
        <f>'12. Разходи'!F84*1000</f>
        <v>12228004.991664929</v>
      </c>
      <c r="I83" s="2462">
        <f>'12. Разходи'!G84*1000</f>
        <v>12581357.786896752</v>
      </c>
      <c r="J83" s="2462">
        <f>'12. Разходи'!H84*1000</f>
        <v>15371312.513235513</v>
      </c>
      <c r="K83" s="2463">
        <f>'12. Разходи'!I84*1000</f>
        <v>15295139.610961597</v>
      </c>
      <c r="L83" s="731">
        <v>1</v>
      </c>
      <c r="M83" s="728">
        <v>1</v>
      </c>
      <c r="N83" s="684">
        <v>1</v>
      </c>
      <c r="O83" s="684">
        <v>1</v>
      </c>
      <c r="P83" s="684">
        <v>1</v>
      </c>
      <c r="Q83" s="684">
        <v>1</v>
      </c>
      <c r="R83" s="691">
        <v>1</v>
      </c>
      <c r="S83" s="684" t="s">
        <v>1615</v>
      </c>
      <c r="T83" s="691" t="s">
        <v>1616</v>
      </c>
    </row>
    <row r="84" spans="1:20" ht="25.5">
      <c r="A84" s="3385"/>
      <c r="B84" s="716" t="s">
        <v>59</v>
      </c>
      <c r="C84" s="702" t="s">
        <v>1106</v>
      </c>
      <c r="D84" s="687" t="s">
        <v>1103</v>
      </c>
      <c r="E84" s="2592">
        <v>1094075</v>
      </c>
      <c r="F84" s="1834">
        <v>1081000</v>
      </c>
      <c r="G84" s="2462">
        <f>'16. Необходими приходи'!M11*1000</f>
        <v>1070281.2395487127</v>
      </c>
      <c r="H84" s="2462">
        <f>'16. Необходими приходи'!N11*1000</f>
        <v>1311435.2049860149</v>
      </c>
      <c r="I84" s="2462">
        <f>'16. Необходими приходи'!O11*1000</f>
        <v>1888734.9119764059</v>
      </c>
      <c r="J84" s="2462">
        <f>'16. Необходими приходи'!P11*1000</f>
        <v>2469626.1020322139</v>
      </c>
      <c r="K84" s="2462">
        <f>'16. Необходими приходи'!Q11*1000</f>
        <v>2544554.8105201069</v>
      </c>
      <c r="L84" s="731">
        <v>1</v>
      </c>
      <c r="M84" s="728">
        <v>1</v>
      </c>
      <c r="N84" s="684">
        <v>1</v>
      </c>
      <c r="O84" s="684">
        <v>1</v>
      </c>
      <c r="P84" s="684">
        <v>1</v>
      </c>
      <c r="Q84" s="684">
        <v>1</v>
      </c>
      <c r="R84" s="691">
        <v>1</v>
      </c>
      <c r="S84" s="684" t="s">
        <v>1615</v>
      </c>
      <c r="T84" s="691" t="s">
        <v>1616</v>
      </c>
    </row>
    <row r="85" spans="1:20" ht="25.5">
      <c r="A85" s="3385"/>
      <c r="B85" s="723" t="s">
        <v>60</v>
      </c>
      <c r="C85" s="702" t="s">
        <v>1107</v>
      </c>
      <c r="D85" s="687" t="s">
        <v>1103</v>
      </c>
      <c r="E85" s="2600">
        <f>'12. Разходи'!J84*1000</f>
        <v>832271.99999999988</v>
      </c>
      <c r="F85" s="2461">
        <f>'12. Разходи'!K84*1000</f>
        <v>999167</v>
      </c>
      <c r="G85" s="2462">
        <f>'12. Разходи'!L84*1000</f>
        <v>931643.49502792535</v>
      </c>
      <c r="H85" s="2462">
        <f>'12. Разходи'!M84*1000</f>
        <v>1163286.8453844551</v>
      </c>
      <c r="I85" s="2462">
        <f>'12. Разходи'!N84*1000</f>
        <v>1690588.5774248182</v>
      </c>
      <c r="J85" s="2462">
        <f>'12. Разходи'!O84*1000</f>
        <v>2166873.69212258</v>
      </c>
      <c r="K85" s="2463">
        <f>'12. Разходи'!P84*1000</f>
        <v>2165433.1395581197</v>
      </c>
      <c r="L85" s="731">
        <v>1</v>
      </c>
      <c r="M85" s="728">
        <v>1</v>
      </c>
      <c r="N85" s="684">
        <v>1</v>
      </c>
      <c r="O85" s="684">
        <v>1</v>
      </c>
      <c r="P85" s="684">
        <v>1</v>
      </c>
      <c r="Q85" s="684">
        <v>1</v>
      </c>
      <c r="R85" s="691">
        <v>1</v>
      </c>
      <c r="S85" s="684" t="s">
        <v>1615</v>
      </c>
      <c r="T85" s="691" t="s">
        <v>1616</v>
      </c>
    </row>
    <row r="86" spans="1:20" ht="25.5">
      <c r="A86" s="3385"/>
      <c r="B86" s="716" t="s">
        <v>62</v>
      </c>
      <c r="C86" s="702" t="s">
        <v>1108</v>
      </c>
      <c r="D86" s="687" t="s">
        <v>1103</v>
      </c>
      <c r="E86" s="2592">
        <v>1265207</v>
      </c>
      <c r="F86" s="1834">
        <v>1328000</v>
      </c>
      <c r="G86" s="2462">
        <f>'16. Необходими приходи'!T11*1000</f>
        <v>1707887.6854146302</v>
      </c>
      <c r="H86" s="2462">
        <f>'16. Необходими приходи'!U11*1000</f>
        <v>1938462.2783018872</v>
      </c>
      <c r="I86" s="2462">
        <f>'16. Необходими приходи'!V11*1000</f>
        <v>2508362.4446215751</v>
      </c>
      <c r="J86" s="2462">
        <f>'16. Необходими приходи'!W11*1000</f>
        <v>2596331.2313388945</v>
      </c>
      <c r="K86" s="2462">
        <f>'16. Необходими приходи'!X11*1000</f>
        <v>2629287.380666534</v>
      </c>
      <c r="L86" s="731">
        <v>1</v>
      </c>
      <c r="M86" s="728">
        <v>1</v>
      </c>
      <c r="N86" s="684">
        <v>1</v>
      </c>
      <c r="O86" s="684">
        <v>1</v>
      </c>
      <c r="P86" s="684">
        <v>1</v>
      </c>
      <c r="Q86" s="684">
        <v>1</v>
      </c>
      <c r="R86" s="691">
        <v>1</v>
      </c>
      <c r="S86" s="684" t="s">
        <v>1615</v>
      </c>
      <c r="T86" s="691" t="s">
        <v>1616</v>
      </c>
    </row>
    <row r="87" spans="1:20" ht="25.5">
      <c r="A87" s="3385"/>
      <c r="B87" s="723" t="s">
        <v>63</v>
      </c>
      <c r="C87" s="702" t="s">
        <v>1109</v>
      </c>
      <c r="D87" s="687" t="s">
        <v>1103</v>
      </c>
      <c r="E87" s="2600">
        <f>'12. Разходи'!Q84*1000</f>
        <v>1583420</v>
      </c>
      <c r="F87" s="2461">
        <f>'12. Разходи'!R84*1000</f>
        <v>1740520</v>
      </c>
      <c r="G87" s="2462">
        <f>'12. Разходи'!S84*1000</f>
        <v>1659213.0036779731</v>
      </c>
      <c r="H87" s="2462">
        <f>'12. Разходи'!T84*1000</f>
        <v>1861490.1629506149</v>
      </c>
      <c r="I87" s="2462">
        <f>'12. Разходи'!U84*1000</f>
        <v>2412947.6356784301</v>
      </c>
      <c r="J87" s="2462">
        <f>'12. Разходи'!V84*1000</f>
        <v>2496218.7946419064</v>
      </c>
      <c r="K87" s="2463">
        <f>'12. Разходи'!W84*1000</f>
        <v>2526803.2494802829</v>
      </c>
      <c r="L87" s="731">
        <v>1</v>
      </c>
      <c r="M87" s="728">
        <v>1</v>
      </c>
      <c r="N87" s="684">
        <v>1</v>
      </c>
      <c r="O87" s="684">
        <v>1</v>
      </c>
      <c r="P87" s="684">
        <v>1</v>
      </c>
      <c r="Q87" s="684">
        <v>1</v>
      </c>
      <c r="R87" s="691">
        <v>1</v>
      </c>
      <c r="S87" s="684" t="s">
        <v>1615</v>
      </c>
      <c r="T87" s="691" t="s">
        <v>1616</v>
      </c>
    </row>
    <row r="88" spans="1:20" ht="25.5">
      <c r="A88" s="3385"/>
      <c r="B88" s="723" t="s">
        <v>64</v>
      </c>
      <c r="C88" s="702" t="s">
        <v>1115</v>
      </c>
      <c r="D88" s="687" t="s">
        <v>1113</v>
      </c>
      <c r="E88" s="2592">
        <v>14738312</v>
      </c>
      <c r="F88" s="1834">
        <v>14658000</v>
      </c>
      <c r="G88" s="1832">
        <v>17914150</v>
      </c>
      <c r="H88" s="1832">
        <v>19509390</v>
      </c>
      <c r="I88" s="1832">
        <v>21966581</v>
      </c>
      <c r="J88" s="1832">
        <v>25722553</v>
      </c>
      <c r="K88" s="1833">
        <v>25861891</v>
      </c>
      <c r="L88" s="731">
        <v>1</v>
      </c>
      <c r="M88" s="728">
        <v>1</v>
      </c>
      <c r="N88" s="684">
        <v>1</v>
      </c>
      <c r="O88" s="684">
        <v>1</v>
      </c>
      <c r="P88" s="684">
        <v>1</v>
      </c>
      <c r="Q88" s="684">
        <v>1</v>
      </c>
      <c r="R88" s="691">
        <v>1</v>
      </c>
      <c r="S88" s="684" t="s">
        <v>1615</v>
      </c>
      <c r="T88" s="691" t="s">
        <v>1616</v>
      </c>
    </row>
    <row r="89" spans="1:20" ht="27.75" customHeight="1">
      <c r="A89" s="3385"/>
      <c r="B89" s="723" t="s">
        <v>65</v>
      </c>
      <c r="C89" s="699" t="s">
        <v>1116</v>
      </c>
      <c r="D89" s="687" t="s">
        <v>1113</v>
      </c>
      <c r="E89" s="2592">
        <v>1746190</v>
      </c>
      <c r="F89" s="1834">
        <v>1662840</v>
      </c>
      <c r="G89" s="1832">
        <v>1598742</v>
      </c>
      <c r="H89" s="1832">
        <v>1438868</v>
      </c>
      <c r="I89" s="1832">
        <v>1380269</v>
      </c>
      <c r="J89" s="1832">
        <v>2891472</v>
      </c>
      <c r="K89" s="1833">
        <v>2746898</v>
      </c>
      <c r="L89" s="731">
        <v>1</v>
      </c>
      <c r="M89" s="728">
        <v>1</v>
      </c>
      <c r="N89" s="684">
        <v>1</v>
      </c>
      <c r="O89" s="684">
        <v>1</v>
      </c>
      <c r="P89" s="684">
        <v>1</v>
      </c>
      <c r="Q89" s="684">
        <v>1</v>
      </c>
      <c r="R89" s="691">
        <v>1</v>
      </c>
      <c r="S89" s="684" t="s">
        <v>1615</v>
      </c>
      <c r="T89" s="691" t="s">
        <v>1616</v>
      </c>
    </row>
    <row r="90" spans="1:20" ht="24.75" customHeight="1" thickBot="1">
      <c r="A90" s="3386"/>
      <c r="B90" s="720" t="s">
        <v>66</v>
      </c>
      <c r="C90" s="700" t="s">
        <v>1117</v>
      </c>
      <c r="D90" s="688" t="s">
        <v>1113</v>
      </c>
      <c r="E90" s="2598">
        <v>1869611</v>
      </c>
      <c r="F90" s="1846">
        <v>1746190</v>
      </c>
      <c r="G90" s="1837">
        <v>1662840</v>
      </c>
      <c r="H90" s="1837">
        <v>1598742</v>
      </c>
      <c r="I90" s="1837">
        <v>1438868</v>
      </c>
      <c r="J90" s="1837">
        <v>2957190</v>
      </c>
      <c r="K90" s="1838">
        <v>2891472</v>
      </c>
      <c r="L90" s="732">
        <v>1</v>
      </c>
      <c r="M90" s="729">
        <v>1</v>
      </c>
      <c r="N90" s="692">
        <v>1</v>
      </c>
      <c r="O90" s="692">
        <v>1</v>
      </c>
      <c r="P90" s="692">
        <v>1</v>
      </c>
      <c r="Q90" s="692">
        <v>1</v>
      </c>
      <c r="R90" s="693">
        <v>1</v>
      </c>
      <c r="S90" s="692" t="s">
        <v>1615</v>
      </c>
      <c r="T90" s="693" t="s">
        <v>1616</v>
      </c>
    </row>
    <row r="91" spans="1:20" ht="26.25" customHeight="1">
      <c r="A91" s="3384" t="s">
        <v>1150</v>
      </c>
      <c r="B91" s="724" t="s">
        <v>67</v>
      </c>
      <c r="C91" s="708" t="s">
        <v>1172</v>
      </c>
      <c r="D91" s="697" t="s">
        <v>1055</v>
      </c>
      <c r="E91" s="2607">
        <f>SUM(E92:E94)</f>
        <v>151</v>
      </c>
      <c r="F91" s="2458">
        <f t="shared" ref="F91:K91" si="10">SUM(F92:F94)</f>
        <v>121</v>
      </c>
      <c r="G91" s="2459">
        <f t="shared" si="10"/>
        <v>120</v>
      </c>
      <c r="H91" s="2459">
        <f t="shared" si="10"/>
        <v>120</v>
      </c>
      <c r="I91" s="2459">
        <f t="shared" si="10"/>
        <v>117</v>
      </c>
      <c r="J91" s="2459">
        <f t="shared" si="10"/>
        <v>117</v>
      </c>
      <c r="K91" s="2460">
        <f t="shared" si="10"/>
        <v>116</v>
      </c>
      <c r="L91" s="730">
        <v>1</v>
      </c>
      <c r="M91" s="727">
        <v>1</v>
      </c>
      <c r="N91" s="689">
        <v>1</v>
      </c>
      <c r="O91" s="689">
        <v>1</v>
      </c>
      <c r="P91" s="689">
        <v>1</v>
      </c>
      <c r="Q91" s="689">
        <v>1</v>
      </c>
      <c r="R91" s="690">
        <v>1</v>
      </c>
      <c r="S91" s="689" t="s">
        <v>1617</v>
      </c>
      <c r="T91" s="690" t="s">
        <v>1618</v>
      </c>
    </row>
    <row r="92" spans="1:20" ht="25.5">
      <c r="A92" s="3385"/>
      <c r="B92" s="723" t="s">
        <v>68</v>
      </c>
      <c r="C92" s="699" t="s">
        <v>1171</v>
      </c>
      <c r="D92" s="687" t="s">
        <v>1055</v>
      </c>
      <c r="E92" s="2592">
        <v>97</v>
      </c>
      <c r="F92" s="1834">
        <v>78</v>
      </c>
      <c r="G92" s="1832">
        <v>77</v>
      </c>
      <c r="H92" s="1832">
        <v>77</v>
      </c>
      <c r="I92" s="1832">
        <v>72</v>
      </c>
      <c r="J92" s="1832">
        <v>70</v>
      </c>
      <c r="K92" s="1833">
        <v>70</v>
      </c>
      <c r="L92" s="731">
        <v>1</v>
      </c>
      <c r="M92" s="728">
        <v>1</v>
      </c>
      <c r="N92" s="684">
        <v>1</v>
      </c>
      <c r="O92" s="684">
        <v>1</v>
      </c>
      <c r="P92" s="684">
        <v>1</v>
      </c>
      <c r="Q92" s="684">
        <v>1</v>
      </c>
      <c r="R92" s="691">
        <v>1</v>
      </c>
      <c r="S92" s="684" t="s">
        <v>1617</v>
      </c>
      <c r="T92" s="691" t="s">
        <v>1618</v>
      </c>
    </row>
    <row r="93" spans="1:20" ht="25.5">
      <c r="A93" s="3385"/>
      <c r="B93" s="723" t="s">
        <v>69</v>
      </c>
      <c r="C93" s="699" t="s">
        <v>1170</v>
      </c>
      <c r="D93" s="687" t="s">
        <v>1055</v>
      </c>
      <c r="E93" s="2592">
        <v>9</v>
      </c>
      <c r="F93" s="1834">
        <v>8</v>
      </c>
      <c r="G93" s="1832">
        <v>8</v>
      </c>
      <c r="H93" s="1832">
        <v>8</v>
      </c>
      <c r="I93" s="1832">
        <v>9</v>
      </c>
      <c r="J93" s="1832">
        <v>9</v>
      </c>
      <c r="K93" s="1833">
        <v>9</v>
      </c>
      <c r="L93" s="731">
        <v>1</v>
      </c>
      <c r="M93" s="728">
        <v>1</v>
      </c>
      <c r="N93" s="684">
        <v>1</v>
      </c>
      <c r="O93" s="684">
        <v>1</v>
      </c>
      <c r="P93" s="684">
        <v>1</v>
      </c>
      <c r="Q93" s="684">
        <v>1</v>
      </c>
      <c r="R93" s="691">
        <v>1</v>
      </c>
      <c r="S93" s="684" t="s">
        <v>1617</v>
      </c>
      <c r="T93" s="691" t="s">
        <v>1618</v>
      </c>
    </row>
    <row r="94" spans="1:20" ht="39" thickBot="1">
      <c r="A94" s="3386"/>
      <c r="B94" s="722" t="s">
        <v>70</v>
      </c>
      <c r="C94" s="700" t="s">
        <v>1169</v>
      </c>
      <c r="D94" s="688" t="s">
        <v>1055</v>
      </c>
      <c r="E94" s="2598">
        <v>45</v>
      </c>
      <c r="F94" s="1846">
        <v>35</v>
      </c>
      <c r="G94" s="1837">
        <v>35</v>
      </c>
      <c r="H94" s="1837">
        <v>35</v>
      </c>
      <c r="I94" s="1837">
        <v>36</v>
      </c>
      <c r="J94" s="1837">
        <v>38</v>
      </c>
      <c r="K94" s="1838">
        <v>37</v>
      </c>
      <c r="L94" s="732">
        <v>1</v>
      </c>
      <c r="M94" s="729">
        <v>1</v>
      </c>
      <c r="N94" s="692">
        <v>1</v>
      </c>
      <c r="O94" s="692">
        <v>1</v>
      </c>
      <c r="P94" s="692">
        <v>1</v>
      </c>
      <c r="Q94" s="692">
        <v>1</v>
      </c>
      <c r="R94" s="693">
        <v>1</v>
      </c>
      <c r="S94" s="692" t="s">
        <v>1617</v>
      </c>
      <c r="T94" s="693" t="s">
        <v>1618</v>
      </c>
    </row>
    <row r="95" spans="1:20" ht="20.25" customHeight="1">
      <c r="A95" s="3384" t="s">
        <v>1149</v>
      </c>
      <c r="B95" s="724" t="s">
        <v>71</v>
      </c>
      <c r="C95" s="708" t="s">
        <v>1377</v>
      </c>
      <c r="D95" s="697" t="s">
        <v>1055</v>
      </c>
      <c r="E95" s="2607">
        <f t="shared" ref="E95:K95" si="11">E96+E101+E106</f>
        <v>154</v>
      </c>
      <c r="F95" s="2458">
        <f t="shared" si="11"/>
        <v>122</v>
      </c>
      <c r="G95" s="2459">
        <f t="shared" si="11"/>
        <v>120</v>
      </c>
      <c r="H95" s="2459">
        <f t="shared" si="11"/>
        <v>120</v>
      </c>
      <c r="I95" s="2459">
        <f t="shared" si="11"/>
        <v>117</v>
      </c>
      <c r="J95" s="2459">
        <f t="shared" si="11"/>
        <v>117</v>
      </c>
      <c r="K95" s="2460">
        <f t="shared" si="11"/>
        <v>116</v>
      </c>
      <c r="L95" s="730">
        <v>1</v>
      </c>
      <c r="M95" s="727">
        <v>1</v>
      </c>
      <c r="N95" s="689">
        <v>1</v>
      </c>
      <c r="O95" s="689">
        <v>1</v>
      </c>
      <c r="P95" s="689">
        <v>1</v>
      </c>
      <c r="Q95" s="689">
        <v>1</v>
      </c>
      <c r="R95" s="690">
        <v>1</v>
      </c>
      <c r="S95" s="689" t="s">
        <v>1617</v>
      </c>
      <c r="T95" s="690" t="s">
        <v>1618</v>
      </c>
    </row>
    <row r="96" spans="1:20" ht="25.5">
      <c r="A96" s="3385"/>
      <c r="B96" s="725" t="s">
        <v>72</v>
      </c>
      <c r="C96" s="709" t="s">
        <v>1167</v>
      </c>
      <c r="D96" s="687" t="s">
        <v>1055</v>
      </c>
      <c r="E96" s="2608">
        <f>SUM(E97:E100)</f>
        <v>99</v>
      </c>
      <c r="F96" s="2455">
        <f t="shared" ref="F96:K96" si="12">SUM(F97:F100)</f>
        <v>79</v>
      </c>
      <c r="G96" s="2456">
        <f t="shared" si="12"/>
        <v>77</v>
      </c>
      <c r="H96" s="2456">
        <f t="shared" si="12"/>
        <v>77</v>
      </c>
      <c r="I96" s="2456">
        <f t="shared" si="12"/>
        <v>70</v>
      </c>
      <c r="J96" s="2456">
        <f t="shared" si="12"/>
        <v>70</v>
      </c>
      <c r="K96" s="2457">
        <f t="shared" si="12"/>
        <v>70</v>
      </c>
      <c r="L96" s="731">
        <v>1</v>
      </c>
      <c r="M96" s="728">
        <v>1</v>
      </c>
      <c r="N96" s="684">
        <v>1</v>
      </c>
      <c r="O96" s="684">
        <v>1</v>
      </c>
      <c r="P96" s="684">
        <v>1</v>
      </c>
      <c r="Q96" s="684">
        <v>1</v>
      </c>
      <c r="R96" s="691">
        <v>1</v>
      </c>
      <c r="S96" s="684" t="s">
        <v>1617</v>
      </c>
      <c r="T96" s="691" t="s">
        <v>1618</v>
      </c>
    </row>
    <row r="97" spans="1:20" ht="25.5">
      <c r="A97" s="3385"/>
      <c r="B97" s="715" t="s">
        <v>38</v>
      </c>
      <c r="C97" s="124" t="s">
        <v>1168</v>
      </c>
      <c r="D97" s="687" t="s">
        <v>1055</v>
      </c>
      <c r="E97" s="2592">
        <v>5</v>
      </c>
      <c r="F97" s="1834">
        <v>5</v>
      </c>
      <c r="G97" s="1832">
        <v>3</v>
      </c>
      <c r="H97" s="1832">
        <v>3</v>
      </c>
      <c r="I97" s="1832">
        <v>3</v>
      </c>
      <c r="J97" s="1832">
        <v>3</v>
      </c>
      <c r="K97" s="1833">
        <v>3</v>
      </c>
      <c r="L97" s="731">
        <v>1</v>
      </c>
      <c r="M97" s="728">
        <v>1</v>
      </c>
      <c r="N97" s="684">
        <v>1</v>
      </c>
      <c r="O97" s="684">
        <v>1</v>
      </c>
      <c r="P97" s="684">
        <v>1</v>
      </c>
      <c r="Q97" s="684">
        <v>1</v>
      </c>
      <c r="R97" s="691">
        <v>1</v>
      </c>
      <c r="S97" s="684" t="s">
        <v>1617</v>
      </c>
      <c r="T97" s="691" t="s">
        <v>1618</v>
      </c>
    </row>
    <row r="98" spans="1:20" ht="21" customHeight="1">
      <c r="A98" s="3385"/>
      <c r="B98" s="723" t="s">
        <v>73</v>
      </c>
      <c r="C98" s="699" t="s">
        <v>1166</v>
      </c>
      <c r="D98" s="687" t="s">
        <v>1055</v>
      </c>
      <c r="E98" s="2592">
        <v>20</v>
      </c>
      <c r="F98" s="1834">
        <v>20</v>
      </c>
      <c r="G98" s="1832">
        <v>20</v>
      </c>
      <c r="H98" s="1832">
        <v>20</v>
      </c>
      <c r="I98" s="1832">
        <v>18</v>
      </c>
      <c r="J98" s="1832">
        <v>18</v>
      </c>
      <c r="K98" s="1833">
        <v>18</v>
      </c>
      <c r="L98" s="731">
        <v>1</v>
      </c>
      <c r="M98" s="728">
        <v>1</v>
      </c>
      <c r="N98" s="684">
        <v>1</v>
      </c>
      <c r="O98" s="684">
        <v>1</v>
      </c>
      <c r="P98" s="684">
        <v>1</v>
      </c>
      <c r="Q98" s="684">
        <v>1</v>
      </c>
      <c r="R98" s="691">
        <v>1</v>
      </c>
      <c r="S98" s="684" t="s">
        <v>1617</v>
      </c>
      <c r="T98" s="691" t="s">
        <v>1618</v>
      </c>
    </row>
    <row r="99" spans="1:20" ht="25.5">
      <c r="A99" s="3385"/>
      <c r="B99" s="723" t="s">
        <v>74</v>
      </c>
      <c r="C99" s="699" t="s">
        <v>1378</v>
      </c>
      <c r="D99" s="687" t="s">
        <v>1055</v>
      </c>
      <c r="E99" s="2592">
        <v>4</v>
      </c>
      <c r="F99" s="1834">
        <v>4</v>
      </c>
      <c r="G99" s="1832">
        <v>4</v>
      </c>
      <c r="H99" s="1832">
        <v>4</v>
      </c>
      <c r="I99" s="1832">
        <v>4</v>
      </c>
      <c r="J99" s="1832">
        <v>4</v>
      </c>
      <c r="K99" s="1833">
        <v>4</v>
      </c>
      <c r="L99" s="731">
        <v>1</v>
      </c>
      <c r="M99" s="728">
        <v>1</v>
      </c>
      <c r="N99" s="684">
        <v>1</v>
      </c>
      <c r="O99" s="684">
        <v>1</v>
      </c>
      <c r="P99" s="684">
        <v>1</v>
      </c>
      <c r="Q99" s="684">
        <v>1</v>
      </c>
      <c r="R99" s="691">
        <v>1</v>
      </c>
      <c r="S99" s="684" t="s">
        <v>1617</v>
      </c>
      <c r="T99" s="691" t="s">
        <v>1618</v>
      </c>
    </row>
    <row r="100" spans="1:20" ht="25.5">
      <c r="A100" s="3385"/>
      <c r="B100" s="723" t="s">
        <v>75</v>
      </c>
      <c r="C100" s="699" t="s">
        <v>1165</v>
      </c>
      <c r="D100" s="687" t="s">
        <v>1055</v>
      </c>
      <c r="E100" s="2592">
        <v>70</v>
      </c>
      <c r="F100" s="1834">
        <v>50</v>
      </c>
      <c r="G100" s="1832">
        <v>50</v>
      </c>
      <c r="H100" s="1832">
        <v>50</v>
      </c>
      <c r="I100" s="1832">
        <v>45</v>
      </c>
      <c r="J100" s="1832">
        <v>45</v>
      </c>
      <c r="K100" s="1833">
        <v>45</v>
      </c>
      <c r="L100" s="731">
        <v>1</v>
      </c>
      <c r="M100" s="728">
        <v>1</v>
      </c>
      <c r="N100" s="684">
        <v>1</v>
      </c>
      <c r="O100" s="684">
        <v>1</v>
      </c>
      <c r="P100" s="684">
        <v>1</v>
      </c>
      <c r="Q100" s="684">
        <v>1</v>
      </c>
      <c r="R100" s="691">
        <v>1</v>
      </c>
      <c r="S100" s="684" t="s">
        <v>1617</v>
      </c>
      <c r="T100" s="691" t="s">
        <v>1618</v>
      </c>
    </row>
    <row r="101" spans="1:20" ht="25.5">
      <c r="A101" s="3385"/>
      <c r="B101" s="725" t="s">
        <v>76</v>
      </c>
      <c r="C101" s="709" t="s">
        <v>1164</v>
      </c>
      <c r="D101" s="687" t="s">
        <v>1055</v>
      </c>
      <c r="E101" s="2608">
        <f>SUM(E102:E105)</f>
        <v>9</v>
      </c>
      <c r="F101" s="2455">
        <f t="shared" ref="F101:K101" si="13">SUM(F102:F105)</f>
        <v>8</v>
      </c>
      <c r="G101" s="2456">
        <f t="shared" si="13"/>
        <v>8</v>
      </c>
      <c r="H101" s="2456">
        <f t="shared" si="13"/>
        <v>8</v>
      </c>
      <c r="I101" s="2456">
        <f t="shared" si="13"/>
        <v>9</v>
      </c>
      <c r="J101" s="2456">
        <f t="shared" si="13"/>
        <v>9</v>
      </c>
      <c r="K101" s="2457">
        <f t="shared" si="13"/>
        <v>8</v>
      </c>
      <c r="L101" s="731">
        <v>1</v>
      </c>
      <c r="M101" s="728">
        <v>1</v>
      </c>
      <c r="N101" s="684">
        <v>1</v>
      </c>
      <c r="O101" s="684">
        <v>1</v>
      </c>
      <c r="P101" s="684">
        <v>1</v>
      </c>
      <c r="Q101" s="684">
        <v>1</v>
      </c>
      <c r="R101" s="691">
        <v>1</v>
      </c>
      <c r="S101" s="684" t="s">
        <v>1617</v>
      </c>
      <c r="T101" s="691" t="s">
        <v>1618</v>
      </c>
    </row>
    <row r="102" spans="1:20" ht="25.5">
      <c r="A102" s="3385"/>
      <c r="B102" s="723" t="s">
        <v>77</v>
      </c>
      <c r="C102" s="699" t="s">
        <v>1163</v>
      </c>
      <c r="D102" s="687" t="s">
        <v>1055</v>
      </c>
      <c r="E102" s="2592">
        <v>4</v>
      </c>
      <c r="F102" s="1834">
        <v>4</v>
      </c>
      <c r="G102" s="1832">
        <v>4</v>
      </c>
      <c r="H102" s="1832">
        <v>4</v>
      </c>
      <c r="I102" s="1832">
        <v>5</v>
      </c>
      <c r="J102" s="1832">
        <v>5</v>
      </c>
      <c r="K102" s="1833">
        <v>5</v>
      </c>
      <c r="L102" s="731">
        <v>1</v>
      </c>
      <c r="M102" s="728">
        <v>1</v>
      </c>
      <c r="N102" s="684">
        <v>1</v>
      </c>
      <c r="O102" s="684">
        <v>1</v>
      </c>
      <c r="P102" s="684">
        <v>1</v>
      </c>
      <c r="Q102" s="684">
        <v>1</v>
      </c>
      <c r="R102" s="691">
        <v>1</v>
      </c>
      <c r="S102" s="684" t="s">
        <v>1617</v>
      </c>
      <c r="T102" s="691" t="s">
        <v>1618</v>
      </c>
    </row>
    <row r="103" spans="1:20" ht="25.5">
      <c r="A103" s="3385"/>
      <c r="B103" s="723" t="s">
        <v>78</v>
      </c>
      <c r="C103" s="699" t="s">
        <v>1162</v>
      </c>
      <c r="D103" s="687" t="s">
        <v>1055</v>
      </c>
      <c r="E103" s="2592">
        <v>5</v>
      </c>
      <c r="F103" s="1834">
        <v>4</v>
      </c>
      <c r="G103" s="1832">
        <v>4</v>
      </c>
      <c r="H103" s="1832">
        <v>4</v>
      </c>
      <c r="I103" s="1832">
        <v>4</v>
      </c>
      <c r="J103" s="1832">
        <v>4</v>
      </c>
      <c r="K103" s="1833">
        <v>3</v>
      </c>
      <c r="L103" s="731">
        <v>1</v>
      </c>
      <c r="M103" s="728">
        <v>1</v>
      </c>
      <c r="N103" s="684">
        <v>1</v>
      </c>
      <c r="O103" s="684">
        <v>1</v>
      </c>
      <c r="P103" s="684">
        <v>1</v>
      </c>
      <c r="Q103" s="684">
        <v>1</v>
      </c>
      <c r="R103" s="691">
        <v>1</v>
      </c>
      <c r="S103" s="684" t="s">
        <v>1617</v>
      </c>
      <c r="T103" s="691" t="s">
        <v>1618</v>
      </c>
    </row>
    <row r="104" spans="1:20" ht="25.5">
      <c r="A104" s="3385"/>
      <c r="B104" s="723" t="s">
        <v>79</v>
      </c>
      <c r="C104" s="699" t="s">
        <v>1161</v>
      </c>
      <c r="D104" s="687" t="s">
        <v>1055</v>
      </c>
      <c r="E104" s="2592"/>
      <c r="F104" s="1834"/>
      <c r="G104" s="1832"/>
      <c r="H104" s="1832"/>
      <c r="I104" s="1832"/>
      <c r="J104" s="1832"/>
      <c r="K104" s="1833"/>
      <c r="L104" s="731">
        <v>1</v>
      </c>
      <c r="M104" s="728">
        <v>1</v>
      </c>
      <c r="N104" s="684">
        <v>1</v>
      </c>
      <c r="O104" s="684">
        <v>1</v>
      </c>
      <c r="P104" s="684">
        <v>1</v>
      </c>
      <c r="Q104" s="684">
        <v>1</v>
      </c>
      <c r="R104" s="691">
        <v>1</v>
      </c>
      <c r="S104" s="684" t="s">
        <v>1617</v>
      </c>
      <c r="T104" s="691" t="s">
        <v>1618</v>
      </c>
    </row>
    <row r="105" spans="1:20" ht="25.5">
      <c r="A105" s="3385"/>
      <c r="B105" s="723" t="s">
        <v>80</v>
      </c>
      <c r="C105" s="699" t="s">
        <v>1160</v>
      </c>
      <c r="D105" s="687" t="s">
        <v>1055</v>
      </c>
      <c r="E105" s="2592"/>
      <c r="F105" s="1834"/>
      <c r="G105" s="1832"/>
      <c r="H105" s="1832"/>
      <c r="I105" s="1832"/>
      <c r="J105" s="1832"/>
      <c r="K105" s="1833"/>
      <c r="L105" s="731">
        <v>1</v>
      </c>
      <c r="M105" s="728">
        <v>1</v>
      </c>
      <c r="N105" s="684">
        <v>1</v>
      </c>
      <c r="O105" s="684">
        <v>1</v>
      </c>
      <c r="P105" s="684">
        <v>1</v>
      </c>
      <c r="Q105" s="684">
        <v>1</v>
      </c>
      <c r="R105" s="691">
        <v>1</v>
      </c>
      <c r="S105" s="684" t="s">
        <v>1617</v>
      </c>
      <c r="T105" s="691" t="s">
        <v>1618</v>
      </c>
    </row>
    <row r="106" spans="1:20" ht="39" thickBot="1">
      <c r="A106" s="3386"/>
      <c r="B106" s="726" t="s">
        <v>81</v>
      </c>
      <c r="C106" s="710" t="s">
        <v>1159</v>
      </c>
      <c r="D106" s="688" t="s">
        <v>1055</v>
      </c>
      <c r="E106" s="2598">
        <v>46</v>
      </c>
      <c r="F106" s="1846">
        <v>35</v>
      </c>
      <c r="G106" s="1837">
        <v>35</v>
      </c>
      <c r="H106" s="1837">
        <v>35</v>
      </c>
      <c r="I106" s="1837">
        <v>38</v>
      </c>
      <c r="J106" s="1837">
        <v>38</v>
      </c>
      <c r="K106" s="1838">
        <v>38</v>
      </c>
      <c r="L106" s="732">
        <v>1</v>
      </c>
      <c r="M106" s="729">
        <v>1</v>
      </c>
      <c r="N106" s="692">
        <v>1</v>
      </c>
      <c r="O106" s="692">
        <v>1</v>
      </c>
      <c r="P106" s="692">
        <v>1</v>
      </c>
      <c r="Q106" s="692">
        <v>1</v>
      </c>
      <c r="R106" s="693">
        <v>1</v>
      </c>
      <c r="S106" s="692" t="s">
        <v>1617</v>
      </c>
      <c r="T106" s="693" t="s">
        <v>1618</v>
      </c>
    </row>
    <row r="107" spans="1:20" ht="38.25">
      <c r="A107" s="3384" t="s">
        <v>1151</v>
      </c>
      <c r="B107" s="721" t="s">
        <v>82</v>
      </c>
      <c r="C107" s="698" t="s">
        <v>1156</v>
      </c>
      <c r="D107" s="697" t="s">
        <v>1055</v>
      </c>
      <c r="E107" s="2597">
        <v>244</v>
      </c>
      <c r="F107" s="1845">
        <v>220</v>
      </c>
      <c r="G107" s="1828">
        <v>220</v>
      </c>
      <c r="H107" s="1828">
        <v>220</v>
      </c>
      <c r="I107" s="1828">
        <v>250</v>
      </c>
      <c r="J107" s="1828">
        <v>310</v>
      </c>
      <c r="K107" s="1829">
        <v>320</v>
      </c>
      <c r="L107" s="730">
        <v>2</v>
      </c>
      <c r="M107" s="727">
        <v>2</v>
      </c>
      <c r="N107" s="689">
        <v>1</v>
      </c>
      <c r="O107" s="689">
        <v>1</v>
      </c>
      <c r="P107" s="689">
        <v>1</v>
      </c>
      <c r="Q107" s="689">
        <v>1</v>
      </c>
      <c r="R107" s="690">
        <v>1</v>
      </c>
      <c r="S107" s="689" t="s">
        <v>1594</v>
      </c>
      <c r="T107" s="690" t="s">
        <v>1619</v>
      </c>
    </row>
    <row r="108" spans="1:20" ht="51">
      <c r="A108" s="3385"/>
      <c r="B108" s="723" t="s">
        <v>83</v>
      </c>
      <c r="C108" s="699" t="s">
        <v>1157</v>
      </c>
      <c r="D108" s="687" t="s">
        <v>1055</v>
      </c>
      <c r="E108" s="2592">
        <v>244</v>
      </c>
      <c r="F108" s="1834">
        <v>220</v>
      </c>
      <c r="G108" s="1832">
        <v>220</v>
      </c>
      <c r="H108" s="1832">
        <v>220</v>
      </c>
      <c r="I108" s="1832">
        <v>250</v>
      </c>
      <c r="J108" s="1832">
        <v>310</v>
      </c>
      <c r="K108" s="1833">
        <v>320</v>
      </c>
      <c r="L108" s="731">
        <v>2</v>
      </c>
      <c r="M108" s="728">
        <v>2</v>
      </c>
      <c r="N108" s="684">
        <v>1</v>
      </c>
      <c r="O108" s="684">
        <v>1</v>
      </c>
      <c r="P108" s="684">
        <v>1</v>
      </c>
      <c r="Q108" s="684">
        <v>1</v>
      </c>
      <c r="R108" s="691">
        <v>1</v>
      </c>
      <c r="S108" s="684" t="s">
        <v>1594</v>
      </c>
      <c r="T108" s="691" t="s">
        <v>1619</v>
      </c>
    </row>
    <row r="109" spans="1:20" ht="38.25">
      <c r="A109" s="3385"/>
      <c r="B109" s="723" t="s">
        <v>84</v>
      </c>
      <c r="C109" s="699" t="s">
        <v>1158</v>
      </c>
      <c r="D109" s="687" t="s">
        <v>1055</v>
      </c>
      <c r="E109" s="2592">
        <v>101</v>
      </c>
      <c r="F109" s="1834">
        <v>100</v>
      </c>
      <c r="G109" s="1832">
        <v>100</v>
      </c>
      <c r="H109" s="1832">
        <v>100</v>
      </c>
      <c r="I109" s="1832">
        <v>105</v>
      </c>
      <c r="J109" s="1832">
        <v>130</v>
      </c>
      <c r="K109" s="1833">
        <v>130</v>
      </c>
      <c r="L109" s="731">
        <v>2</v>
      </c>
      <c r="M109" s="728">
        <v>2</v>
      </c>
      <c r="N109" s="684">
        <v>1</v>
      </c>
      <c r="O109" s="684">
        <v>1</v>
      </c>
      <c r="P109" s="684">
        <v>1</v>
      </c>
      <c r="Q109" s="684">
        <v>1</v>
      </c>
      <c r="R109" s="691">
        <v>1</v>
      </c>
      <c r="S109" s="684" t="s">
        <v>1594</v>
      </c>
      <c r="T109" s="691" t="s">
        <v>1619</v>
      </c>
    </row>
    <row r="110" spans="1:20" ht="51.75" thickBot="1">
      <c r="A110" s="3386"/>
      <c r="B110" s="722" t="s">
        <v>85</v>
      </c>
      <c r="C110" s="700" t="s">
        <v>1155</v>
      </c>
      <c r="D110" s="688" t="s">
        <v>1055</v>
      </c>
      <c r="E110" s="2598">
        <v>101</v>
      </c>
      <c r="F110" s="1846">
        <v>100</v>
      </c>
      <c r="G110" s="1837">
        <v>100</v>
      </c>
      <c r="H110" s="1837">
        <v>100</v>
      </c>
      <c r="I110" s="1837">
        <v>105</v>
      </c>
      <c r="J110" s="1837">
        <v>130</v>
      </c>
      <c r="K110" s="1838">
        <v>130</v>
      </c>
      <c r="L110" s="732">
        <v>2</v>
      </c>
      <c r="M110" s="729">
        <v>2</v>
      </c>
      <c r="N110" s="692">
        <v>1</v>
      </c>
      <c r="O110" s="692">
        <v>1</v>
      </c>
      <c r="P110" s="692">
        <v>1</v>
      </c>
      <c r="Q110" s="692">
        <v>1</v>
      </c>
      <c r="R110" s="693">
        <v>1</v>
      </c>
      <c r="S110" s="692" t="s">
        <v>1594</v>
      </c>
      <c r="T110" s="693" t="s">
        <v>1619</v>
      </c>
    </row>
    <row r="111" spans="1:20" ht="38.25">
      <c r="A111" s="3390" t="s">
        <v>1152</v>
      </c>
      <c r="B111" s="721" t="s">
        <v>86</v>
      </c>
      <c r="C111" s="698" t="s">
        <v>1153</v>
      </c>
      <c r="D111" s="697" t="s">
        <v>1055</v>
      </c>
      <c r="E111" s="2605">
        <f>'5. Персонал'!C14+'5. Персонал'!AE14+'5. Персонал'!AL14</f>
        <v>432</v>
      </c>
      <c r="F111" s="2464">
        <f>'5. Персонал'!D14+'5. Персонал'!AF14+'5. Персонал'!AM14</f>
        <v>430</v>
      </c>
      <c r="G111" s="2465">
        <f>'5. Персонал'!E14+'5. Персонал'!AG14+'5. Персонал'!AN14</f>
        <v>426</v>
      </c>
      <c r="H111" s="2465">
        <f>'5. Персонал'!F14+'5. Персонал'!AH14+'5. Персонал'!AO14</f>
        <v>426</v>
      </c>
      <c r="I111" s="2465">
        <f>'5. Персонал'!G14+'5. Персонал'!AI14+'5. Персонал'!AP14</f>
        <v>436</v>
      </c>
      <c r="J111" s="2465">
        <f>'5. Персонал'!H14+'5. Персонал'!AJ14+'5. Персонал'!AQ14</f>
        <v>520</v>
      </c>
      <c r="K111" s="2466">
        <f>'5. Персонал'!I14+'5. Персонал'!AK14+'5. Персонал'!AR14</f>
        <v>518</v>
      </c>
      <c r="L111" s="730">
        <v>1</v>
      </c>
      <c r="M111" s="727">
        <v>1</v>
      </c>
      <c r="N111" s="689">
        <v>1</v>
      </c>
      <c r="O111" s="689">
        <v>1</v>
      </c>
      <c r="P111" s="689">
        <v>1</v>
      </c>
      <c r="Q111" s="689">
        <v>1</v>
      </c>
      <c r="R111" s="690">
        <v>1</v>
      </c>
      <c r="S111" s="689" t="s">
        <v>1620</v>
      </c>
      <c r="T111" s="690" t="s">
        <v>1621</v>
      </c>
    </row>
    <row r="112" spans="1:20" ht="39" thickBot="1">
      <c r="A112" s="3391"/>
      <c r="B112" s="722" t="s">
        <v>88</v>
      </c>
      <c r="C112" s="700" t="s">
        <v>1154</v>
      </c>
      <c r="D112" s="688" t="s">
        <v>1055</v>
      </c>
      <c r="E112" s="2609">
        <f>'5. Персонал'!J14+'5. Персонал'!Q14</f>
        <v>80</v>
      </c>
      <c r="F112" s="2452">
        <f>'5. Персонал'!K14+'5. Персонал'!R14</f>
        <v>82</v>
      </c>
      <c r="G112" s="2453">
        <f>'5. Персонал'!L14+'5. Персонал'!S14</f>
        <v>82</v>
      </c>
      <c r="H112" s="2453">
        <f>'5. Персонал'!M14+'5. Персонал'!T14</f>
        <v>84</v>
      </c>
      <c r="I112" s="2453">
        <f>'5. Персонал'!N14+'5. Персонал'!U14</f>
        <v>103</v>
      </c>
      <c r="J112" s="2453">
        <f>'5. Персонал'!O14+'5. Персонал'!V14</f>
        <v>112</v>
      </c>
      <c r="K112" s="2454">
        <f>'5. Персонал'!P14+'5. Персонал'!W14</f>
        <v>112</v>
      </c>
      <c r="L112" s="732">
        <v>1</v>
      </c>
      <c r="M112" s="729">
        <v>1</v>
      </c>
      <c r="N112" s="692">
        <v>1</v>
      </c>
      <c r="O112" s="692">
        <v>1</v>
      </c>
      <c r="P112" s="692">
        <v>1</v>
      </c>
      <c r="Q112" s="692">
        <v>1</v>
      </c>
      <c r="R112" s="693">
        <v>1</v>
      </c>
      <c r="S112" s="692" t="s">
        <v>1620</v>
      </c>
      <c r="T112" s="693" t="s">
        <v>1621</v>
      </c>
    </row>
    <row r="114" spans="1:20">
      <c r="D114" s="2616"/>
    </row>
    <row r="115" spans="1:20">
      <c r="E115" s="2610" t="str">
        <f>'1. Анкетна карта'!H53</f>
        <v>Главен счетоводител:</v>
      </c>
      <c r="G115" s="2584" t="s">
        <v>4</v>
      </c>
    </row>
    <row r="116" spans="1:20">
      <c r="H116" s="2584" t="s">
        <v>246</v>
      </c>
    </row>
    <row r="117" spans="1:20">
      <c r="C117" s="676" t="str">
        <f>'1. Анкетна карта'!B54</f>
        <v>Дата: 27.08.2018 г.</v>
      </c>
    </row>
    <row r="118" spans="1:20">
      <c r="F118" s="2610" t="str">
        <f>'1. Анкетна карта'!H57</f>
        <v>Управител:</v>
      </c>
      <c r="G118" s="2584" t="s">
        <v>4</v>
      </c>
    </row>
    <row r="119" spans="1:20">
      <c r="A119" s="677" t="s">
        <v>757</v>
      </c>
    </row>
    <row r="120" spans="1:20">
      <c r="A120" s="679" t="s">
        <v>248</v>
      </c>
      <c r="H120" s="2584" t="s">
        <v>6</v>
      </c>
    </row>
    <row r="121" spans="1:20">
      <c r="A121" s="679" t="s">
        <v>1369</v>
      </c>
    </row>
    <row r="122" spans="1:20">
      <c r="A122" s="679" t="s">
        <v>1370</v>
      </c>
    </row>
    <row r="123" spans="1:20">
      <c r="A123" s="2951" t="s">
        <v>1532</v>
      </c>
    </row>
    <row r="124" spans="1:20" s="678" customFormat="1" ht="15.75">
      <c r="D124" s="2617"/>
      <c r="E124" s="2611"/>
      <c r="F124" s="2611"/>
      <c r="G124" s="2612"/>
      <c r="H124" s="2613"/>
      <c r="I124" s="2612"/>
      <c r="J124" s="2614"/>
      <c r="K124" s="2611"/>
      <c r="L124" s="2611"/>
      <c r="M124" s="2611"/>
      <c r="N124" s="2611"/>
      <c r="O124" s="2611"/>
      <c r="P124" s="2611"/>
      <c r="Q124" s="2611"/>
      <c r="R124" s="2611"/>
      <c r="S124" s="2611"/>
      <c r="T124" s="2611"/>
    </row>
    <row r="125" spans="1:20" s="682" customFormat="1" ht="12">
      <c r="C125" s="680"/>
      <c r="D125" s="1516"/>
      <c r="E125" s="2615"/>
      <c r="F125" s="1515"/>
      <c r="G125" s="1515"/>
      <c r="H125" s="1515"/>
      <c r="I125" s="1514"/>
      <c r="J125" s="1514"/>
      <c r="K125" s="1514"/>
      <c r="L125" s="1514"/>
      <c r="M125" s="1514"/>
      <c r="N125" s="1514"/>
      <c r="O125" s="1514"/>
      <c r="P125" s="1514"/>
      <c r="Q125" s="1514"/>
      <c r="R125" s="1514"/>
      <c r="S125" s="1514"/>
      <c r="T125" s="1514"/>
    </row>
  </sheetData>
  <sheetProtection password="C6DB" sheet="1" objects="1" scenarios="1" formatCells="0" formatColumns="0" formatRows="0"/>
  <mergeCells count="30">
    <mergeCell ref="A95:A106"/>
    <mergeCell ref="A91:A94"/>
    <mergeCell ref="A107:A110"/>
    <mergeCell ref="A111:A112"/>
    <mergeCell ref="A52:A53"/>
    <mergeCell ref="A78:A79"/>
    <mergeCell ref="A61:A64"/>
    <mergeCell ref="A80:A81"/>
    <mergeCell ref="A82:A90"/>
    <mergeCell ref="A56:A60"/>
    <mergeCell ref="A54:A55"/>
    <mergeCell ref="A76:A77"/>
    <mergeCell ref="A65:A75"/>
    <mergeCell ref="A8:A11"/>
    <mergeCell ref="A12:A14"/>
    <mergeCell ref="A32:A41"/>
    <mergeCell ref="A42:A51"/>
    <mergeCell ref="A15:A18"/>
    <mergeCell ref="A19:A31"/>
    <mergeCell ref="E1:F1"/>
    <mergeCell ref="D6:D7"/>
    <mergeCell ref="C6:C7"/>
    <mergeCell ref="B6:B7"/>
    <mergeCell ref="E6:K6"/>
    <mergeCell ref="S6:T6"/>
    <mergeCell ref="L6:R6"/>
    <mergeCell ref="A4:R4"/>
    <mergeCell ref="A2:R2"/>
    <mergeCell ref="A3:R3"/>
    <mergeCell ref="A6:A7"/>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39370078740157483" right="0.39370078740157483" top="0.86614173228346458" bottom="0.39370078740157483" header="0.39370078740157483" footer="0.39370078740157483"/>
  <pageSetup paperSize="9" scale="46" fitToHeight="4" orientation="landscape" r:id="rId1"/>
  <headerFooter alignWithMargins="0">
    <oddFooter>&amp;A&amp;RPage &amp;P</oddFooter>
  </headerFooter>
  <rowBreaks count="3" manualBreakCount="3">
    <brk id="31" max="19" man="1"/>
    <brk id="55" max="19" man="1"/>
    <brk id="81" max="19" man="1"/>
  </rowBreaks>
  <ignoredErrors>
    <ignoredError sqref="E112:K1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O50"/>
  <sheetViews>
    <sheetView showGridLines="0" view="pageBreakPreview" zoomScale="90" zoomScaleNormal="90" zoomScaleSheetLayoutView="90" workbookViewId="0">
      <pane xSplit="4" ySplit="6" topLeftCell="E10" activePane="bottomRight" state="frozen"/>
      <selection pane="topRight" activeCell="E1" sqref="E1"/>
      <selection pane="bottomLeft" activeCell="A7" sqref="A7"/>
      <selection pane="bottomRight" activeCell="F38" sqref="F38"/>
    </sheetView>
  </sheetViews>
  <sheetFormatPr defaultRowHeight="12.75"/>
  <cols>
    <col min="1" max="1" width="6.28515625" style="11" customWidth="1"/>
    <col min="2" max="2" width="7.7109375" style="11" customWidth="1"/>
    <col min="3" max="3" width="64.42578125" style="2" bestFit="1" customWidth="1"/>
    <col min="4" max="4" width="13.28515625" style="2" bestFit="1" customWidth="1"/>
    <col min="5" max="10" width="12.7109375" style="2" customWidth="1"/>
    <col min="11" max="11" width="13.28515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8"/>
      <c r="L1" s="127" t="str">
        <f>'2. Променливи'!R1:R1</f>
        <v>Приложение № 2</v>
      </c>
      <c r="M1" s="127"/>
      <c r="N1" s="23"/>
      <c r="O1" s="23"/>
    </row>
    <row r="2" spans="1:15" s="8" customFormat="1" ht="37.5" customHeight="1">
      <c r="A2" s="3392" t="s">
        <v>498</v>
      </c>
      <c r="B2" s="3392"/>
      <c r="C2" s="3392"/>
      <c r="D2" s="3392"/>
      <c r="E2" s="3392"/>
      <c r="F2" s="3392"/>
      <c r="G2" s="3392"/>
      <c r="H2" s="3392"/>
      <c r="I2" s="3392"/>
      <c r="J2" s="3392"/>
      <c r="K2" s="3392"/>
      <c r="L2" s="3392"/>
      <c r="M2" s="2920"/>
      <c r="N2" s="23"/>
      <c r="O2" s="23"/>
    </row>
    <row r="3" spans="1:15" s="44" customFormat="1" ht="15.75" customHeight="1">
      <c r="A3" s="3371" t="str">
        <f>'1. Анкетна карта'!A3:J3</f>
        <v>на "Водоснабдяване и канализация" ЕООД , гр. Благоевград</v>
      </c>
      <c r="B3" s="3371"/>
      <c r="C3" s="3371"/>
      <c r="D3" s="3371"/>
      <c r="E3" s="3371"/>
      <c r="F3" s="3371"/>
      <c r="G3" s="3371"/>
      <c r="H3" s="3371"/>
      <c r="I3" s="3371"/>
      <c r="J3" s="3371"/>
      <c r="K3" s="3371"/>
      <c r="L3" s="3371"/>
      <c r="M3" s="2919"/>
      <c r="N3" s="117"/>
      <c r="O3" s="117"/>
    </row>
    <row r="4" spans="1:15" s="44" customFormat="1" ht="15.75" customHeight="1">
      <c r="A4" s="3371" t="str">
        <f>'1. Анкетна карта'!A4:J4</f>
        <v>ЕИК по БУЛСТАТ: 811047831</v>
      </c>
      <c r="B4" s="3371"/>
      <c r="C4" s="3371"/>
      <c r="D4" s="3371"/>
      <c r="E4" s="3371"/>
      <c r="F4" s="3371"/>
      <c r="G4" s="3371"/>
      <c r="H4" s="3371"/>
      <c r="I4" s="3371"/>
      <c r="J4" s="3371"/>
      <c r="K4" s="3371"/>
      <c r="L4" s="3371"/>
      <c r="M4" s="2919"/>
      <c r="N4" s="117"/>
      <c r="O4" s="117"/>
    </row>
    <row r="5" spans="1:15" s="8" customFormat="1" ht="15" thickBot="1">
      <c r="A5" s="9"/>
      <c r="B5" s="9"/>
      <c r="C5" s="10"/>
      <c r="D5" s="119"/>
      <c r="E5" s="10"/>
      <c r="F5" s="10"/>
      <c r="G5" s="10"/>
      <c r="H5" s="10"/>
      <c r="I5" s="10"/>
      <c r="J5" s="10"/>
      <c r="L5" s="123"/>
      <c r="M5" s="123"/>
      <c r="N5" s="23"/>
      <c r="O5" s="23"/>
    </row>
    <row r="6" spans="1:15" ht="46.5" customHeight="1" thickBot="1">
      <c r="A6" s="2571" t="s">
        <v>1</v>
      </c>
      <c r="B6" s="2572" t="s">
        <v>1043</v>
      </c>
      <c r="C6" s="2573" t="s">
        <v>90</v>
      </c>
      <c r="D6" s="2574" t="s">
        <v>1015</v>
      </c>
      <c r="E6" s="2575" t="str">
        <f>'Приложение '!$G12</f>
        <v>2015 г.</v>
      </c>
      <c r="F6" s="2574" t="str">
        <f>'Приложение '!$G13</f>
        <v>2016 г.</v>
      </c>
      <c r="G6" s="2574" t="str">
        <f>'Приложение '!$G14</f>
        <v>2017 г.</v>
      </c>
      <c r="H6" s="2574" t="str">
        <f>'Приложение '!$G15</f>
        <v>2018 г.</v>
      </c>
      <c r="I6" s="2574" t="str">
        <f>'Приложение '!$G16</f>
        <v>2019 г.</v>
      </c>
      <c r="J6" s="2574" t="str">
        <f>'Приложение '!$G17</f>
        <v>2020 г.</v>
      </c>
      <c r="K6" s="2576" t="str">
        <f>'Приложение '!$G18</f>
        <v>2021 г.</v>
      </c>
      <c r="L6" s="2574" t="str">
        <f>"Качество на информацията за "
&amp;'Приложение '!G12</f>
        <v>Качество на информацията за 2015 г.</v>
      </c>
      <c r="M6" s="2574" t="str">
        <f>"Качество на информацията за "
&amp;'Приложение '!G18</f>
        <v>Качество на информацията за 2021 г.</v>
      </c>
      <c r="N6" s="2577" t="s">
        <v>1050</v>
      </c>
      <c r="O6" s="2578" t="s">
        <v>1051</v>
      </c>
    </row>
    <row r="7" spans="1:15" ht="14.25">
      <c r="A7" s="670">
        <v>1</v>
      </c>
      <c r="B7" s="667" t="s">
        <v>136</v>
      </c>
      <c r="C7" s="120" t="s">
        <v>1020</v>
      </c>
      <c r="D7" s="666" t="s">
        <v>226</v>
      </c>
      <c r="E7" s="409">
        <f>'2. Променливи'!E8/'2. Променливи'!E11</f>
        <v>0.97434765041391425</v>
      </c>
      <c r="F7" s="401">
        <f>'2. Променливи'!F8/'2. Променливи'!F11</f>
        <v>0.97903474647660693</v>
      </c>
      <c r="G7" s="401">
        <f>'2. Променливи'!G8/'2. Променливи'!G11</f>
        <v>0.97904718316909567</v>
      </c>
      <c r="H7" s="1851">
        <f>'2. Променливи'!H8/'2. Променливи'!H11</f>
        <v>0.98246987459956869</v>
      </c>
      <c r="I7" s="1851">
        <f>'2. Променливи'!I8/'2. Променливи'!I11</f>
        <v>0.99197681772273771</v>
      </c>
      <c r="J7" s="1851">
        <f>'2. Променливи'!J8/'2. Променливи'!J11</f>
        <v>0.99109956709956715</v>
      </c>
      <c r="K7" s="1852">
        <f>'2. Променливи'!K8/'2. Променливи'!K11</f>
        <v>0.99113186164927969</v>
      </c>
      <c r="L7" s="730">
        <v>1</v>
      </c>
      <c r="M7" s="730">
        <v>1</v>
      </c>
      <c r="N7" s="3016">
        <v>0.99</v>
      </c>
      <c r="O7" s="1944">
        <v>0.99</v>
      </c>
    </row>
    <row r="8" spans="1:15" ht="14.25">
      <c r="A8" s="670">
        <v>2</v>
      </c>
      <c r="B8" s="668" t="s">
        <v>137</v>
      </c>
      <c r="C8" s="48" t="s">
        <v>1021</v>
      </c>
      <c r="D8" s="666" t="s">
        <v>226</v>
      </c>
      <c r="E8" s="400">
        <f>'2. Променливи'!E32/'2. Променливи'!E37</f>
        <v>0.99750000000000005</v>
      </c>
      <c r="F8" s="401">
        <f>'2. Променливи'!F32/'2. Променливи'!F37</f>
        <v>0.99964936886395517</v>
      </c>
      <c r="G8" s="401">
        <f>'2. Променливи'!G32/'2. Променливи'!G37</f>
        <v>0.99962949240459431</v>
      </c>
      <c r="H8" s="1851">
        <f>'2. Променливи'!H32/'2. Променливи'!H37</f>
        <v>0.99901639344262294</v>
      </c>
      <c r="I8" s="1851">
        <f>'2. Променливи'!I32/'2. Променливи'!I37</f>
        <v>0.99934469200524245</v>
      </c>
      <c r="J8" s="1851">
        <f>'2. Променливи'!J32/'2. Променливи'!J37</f>
        <v>0.99755351681957183</v>
      </c>
      <c r="K8" s="1852">
        <f>'2. Променливи'!K32/'2. Променливи'!K37</f>
        <v>0.99785932721712534</v>
      </c>
      <c r="L8" s="731">
        <v>2</v>
      </c>
      <c r="M8" s="731">
        <v>1</v>
      </c>
      <c r="N8" s="3017">
        <v>0.99</v>
      </c>
      <c r="O8" s="1945">
        <v>0.99</v>
      </c>
    </row>
    <row r="9" spans="1:15" ht="14.25">
      <c r="A9" s="670">
        <v>3</v>
      </c>
      <c r="B9" s="668" t="s">
        <v>138</v>
      </c>
      <c r="C9" s="48" t="s">
        <v>1022</v>
      </c>
      <c r="D9" s="666" t="s">
        <v>226</v>
      </c>
      <c r="E9" s="400">
        <f>'2. Променливи'!E42/'2. Променливи'!E47</f>
        <v>0.98831116485288195</v>
      </c>
      <c r="F9" s="401">
        <f>'2. Променливи'!F42/'2. Променливи'!F47</f>
        <v>0.99664640536575144</v>
      </c>
      <c r="G9" s="401">
        <f>'2. Променливи'!G42/'2. Променливи'!G47</f>
        <v>0.99095607235142114</v>
      </c>
      <c r="H9" s="1851">
        <f>'2. Променливи'!H42/'2. Променливи'!H47</f>
        <v>0.99186313373669932</v>
      </c>
      <c r="I9" s="1851">
        <f>'2. Променливи'!I42/'2. Променливи'!I47</f>
        <v>0.99188345473465145</v>
      </c>
      <c r="J9" s="1851">
        <f>'2. Променливи'!J42/'2. Променливи'!J47</f>
        <v>0.99475262368815587</v>
      </c>
      <c r="K9" s="1852">
        <f>'2. Променливи'!K42/'2. Променливи'!K47</f>
        <v>0.99737631184407793</v>
      </c>
      <c r="L9" s="731">
        <v>2</v>
      </c>
      <c r="M9" s="731">
        <v>1</v>
      </c>
      <c r="N9" s="3017">
        <v>0.98</v>
      </c>
      <c r="O9" s="1945">
        <v>0.98</v>
      </c>
    </row>
    <row r="10" spans="1:15" ht="14.25">
      <c r="A10" s="670">
        <v>4</v>
      </c>
      <c r="B10" s="668" t="s">
        <v>139</v>
      </c>
      <c r="C10" s="48" t="s">
        <v>1023</v>
      </c>
      <c r="D10" s="666" t="s">
        <v>226</v>
      </c>
      <c r="E10" s="400">
        <f>'2. Променливи'!E52/'2. Променливи'!E53</f>
        <v>1</v>
      </c>
      <c r="F10" s="401">
        <f>'2. Променливи'!F52/'2. Променливи'!F53</f>
        <v>1</v>
      </c>
      <c r="G10" s="401">
        <f>'2. Променливи'!G52/'2. Променливи'!G53</f>
        <v>1</v>
      </c>
      <c r="H10" s="1851">
        <f>'2. Променливи'!H52/'2. Променливи'!H53</f>
        <v>1</v>
      </c>
      <c r="I10" s="1851">
        <f>'2. Променливи'!I52/'2. Променливи'!I53</f>
        <v>1</v>
      </c>
      <c r="J10" s="1851">
        <f>'2. Променливи'!J52/'2. Променливи'!J53</f>
        <v>1</v>
      </c>
      <c r="K10" s="1852">
        <f>'2. Променливи'!K52/'2. Променливи'!K53</f>
        <v>1</v>
      </c>
      <c r="L10" s="731">
        <v>2</v>
      </c>
      <c r="M10" s="731">
        <v>1</v>
      </c>
      <c r="N10" s="3017">
        <v>1</v>
      </c>
      <c r="O10" s="1945">
        <v>1</v>
      </c>
    </row>
    <row r="11" spans="1:15" ht="14.25">
      <c r="A11" s="670">
        <v>5</v>
      </c>
      <c r="B11" s="668" t="s">
        <v>140</v>
      </c>
      <c r="C11" s="48" t="s">
        <v>1024</v>
      </c>
      <c r="D11" s="666" t="s">
        <v>1472</v>
      </c>
      <c r="E11" s="402">
        <f>'2. Променливи'!E56/('2. Променливи'!E8*24*365)*1000</f>
        <v>1.2860836962218161</v>
      </c>
      <c r="F11" s="403">
        <f>'2. Променливи'!F56/('2. Променливи'!F8*24*365)*1000</f>
        <v>1.2892791360099847</v>
      </c>
      <c r="G11" s="403">
        <f>'2. Променливи'!G56/('2. Променливи'!G8*24*365)*1000</f>
        <v>1.199498966942838</v>
      </c>
      <c r="H11" s="1853">
        <f>'2. Променливи'!H56/('2. Променливи'!H8*24*365)*1000</f>
        <v>1.1545616441257995</v>
      </c>
      <c r="I11" s="1853">
        <f>'2. Променливи'!I56/('2. Променливи'!I8*24*365)*1000</f>
        <v>1.2591750112001256</v>
      </c>
      <c r="J11" s="1853">
        <f>'2. Променливи'!J56/('2. Променливи'!J8*24*365)*1000</f>
        <v>1.2077714390991694</v>
      </c>
      <c r="K11" s="1854">
        <f>'2. Променливи'!K56/('2. Променливи'!K8*24*365)*1000</f>
        <v>1.1815526001009762</v>
      </c>
      <c r="L11" s="731">
        <v>2</v>
      </c>
      <c r="M11" s="731">
        <v>1</v>
      </c>
      <c r="N11" s="731"/>
      <c r="O11" s="1946">
        <v>8</v>
      </c>
    </row>
    <row r="12" spans="1:15" ht="14.25">
      <c r="A12" s="670">
        <v>6</v>
      </c>
      <c r="B12" s="668" t="s">
        <v>1013</v>
      </c>
      <c r="C12" s="48" t="s">
        <v>1025</v>
      </c>
      <c r="D12" s="666" t="s">
        <v>1483</v>
      </c>
      <c r="E12" s="402">
        <f>'2. Променливи'!E63/'2. Променливи'!E24/365</f>
        <v>34.219920624759951</v>
      </c>
      <c r="F12" s="402">
        <f>'2. Променливи'!F63/'2. Променливи'!F24/365</f>
        <v>32.373818973242862</v>
      </c>
      <c r="G12" s="402">
        <f>'2. Променливи'!G63/'2. Променливи'!G24/365</f>
        <v>29.535949648278415</v>
      </c>
      <c r="H12" s="1855">
        <f>'2. Променливи'!H63/'2. Променливи'!H24/365</f>
        <v>27.190159422957258</v>
      </c>
      <c r="I12" s="1855">
        <f>'2. Променливи'!I63/'2. Променливи'!I24/365</f>
        <v>24.652838709164488</v>
      </c>
      <c r="J12" s="1855">
        <f>'2. Променливи'!J63/'2. Променливи'!J24/365</f>
        <v>22.471334162795497</v>
      </c>
      <c r="K12" s="1856">
        <f>'2. Променливи'!K63/'2. Променливи'!K24/365</f>
        <v>21.57112721407001</v>
      </c>
      <c r="L12" s="731">
        <v>2</v>
      </c>
      <c r="M12" s="731">
        <v>1</v>
      </c>
      <c r="N12" s="731">
        <v>23.45</v>
      </c>
      <c r="O12" s="1946">
        <v>15</v>
      </c>
    </row>
    <row r="13" spans="1:15" ht="14.25">
      <c r="A13" s="670">
        <v>7</v>
      </c>
      <c r="B13" s="668" t="s">
        <v>1014</v>
      </c>
      <c r="C13" s="48" t="s">
        <v>1025</v>
      </c>
      <c r="D13" s="666" t="s">
        <v>226</v>
      </c>
      <c r="E13" s="400">
        <f>'2. Променливи'!E63/'2. Променливи'!E61</f>
        <v>0.63915724987316214</v>
      </c>
      <c r="F13" s="400">
        <f>'2. Променливи'!F63/'2. Променливи'!F61</f>
        <v>0.62882912384631684</v>
      </c>
      <c r="G13" s="400">
        <f>'2. Променливи'!G63/'2. Променливи'!G61</f>
        <v>0.61347786333271559</v>
      </c>
      <c r="H13" s="1857">
        <f>'2. Променливи'!H63/'2. Променливи'!H61</f>
        <v>0.59432947037153494</v>
      </c>
      <c r="I13" s="1857">
        <f>'2. Променливи'!I63/'2. Променливи'!I61</f>
        <v>0.58999999467235886</v>
      </c>
      <c r="J13" s="1857">
        <f>'2. Променливи'!J63/'2. Променливи'!J61</f>
        <v>0.57732914964513393</v>
      </c>
      <c r="K13" s="1858">
        <f>'2. Променливи'!K63/'2. Променливи'!K61</f>
        <v>0.56851328738738371</v>
      </c>
      <c r="L13" s="731">
        <v>2</v>
      </c>
      <c r="M13" s="731">
        <v>1</v>
      </c>
      <c r="N13" s="3018">
        <v>0.56910000000000005</v>
      </c>
      <c r="O13" s="1945">
        <v>0.49</v>
      </c>
    </row>
    <row r="14" spans="1:15" ht="14.25">
      <c r="A14" s="670">
        <v>8</v>
      </c>
      <c r="B14" s="668" t="s">
        <v>141</v>
      </c>
      <c r="C14" s="48" t="s">
        <v>1026</v>
      </c>
      <c r="D14" s="666" t="s">
        <v>1018</v>
      </c>
      <c r="E14" s="402">
        <f>'2. Променливи'!E57/'2. Променливи'!E23*100</f>
        <v>111.41522029372497</v>
      </c>
      <c r="F14" s="402">
        <f>'2. Променливи'!F57/'2. Променливи'!F23*100</f>
        <v>108.3444592790387</v>
      </c>
      <c r="G14" s="402">
        <f>'2. Променливи'!G57/'2. Променливи'!G23*100</f>
        <v>83.268983268983263</v>
      </c>
      <c r="H14" s="1855">
        <f>'2. Променливи'!H57/'2. Променливи'!H23*100</f>
        <v>82.533589251439537</v>
      </c>
      <c r="I14" s="1855">
        <f>'2. Променливи'!I57/'2. Променливи'!I23*100</f>
        <v>100.92861288450376</v>
      </c>
      <c r="J14" s="1855">
        <f>'2. Променливи'!J57/'2. Променливи'!J23*100</f>
        <v>92.788680967594701</v>
      </c>
      <c r="K14" s="1856">
        <f>'2. Променливи'!K57/'2. Променливи'!K23*100</f>
        <v>86.07941579187586</v>
      </c>
      <c r="L14" s="731">
        <v>2</v>
      </c>
      <c r="M14" s="731">
        <v>1</v>
      </c>
      <c r="N14" s="731">
        <v>110.88</v>
      </c>
      <c r="O14" s="1946">
        <v>60</v>
      </c>
    </row>
    <row r="15" spans="1:15" ht="14.25">
      <c r="A15" s="670">
        <v>9</v>
      </c>
      <c r="B15" s="668" t="s">
        <v>142</v>
      </c>
      <c r="C15" s="121" t="s">
        <v>1027</v>
      </c>
      <c r="D15" s="666" t="s">
        <v>226</v>
      </c>
      <c r="E15" s="400">
        <f>'2. Променливи'!E71/'2. Променливи'!E25</f>
        <v>3.8461538461538464E-2</v>
      </c>
      <c r="F15" s="400">
        <f>'2. Променливи'!F71/'2. Променливи'!F25</f>
        <v>3.8461538461538464E-2</v>
      </c>
      <c r="G15" s="400">
        <f>'2. Променливи'!G71/'2. Променливи'!G25</f>
        <v>3.7037037037037035E-2</v>
      </c>
      <c r="H15" s="1857">
        <f>'2. Променливи'!H71/'2. Променливи'!H25</f>
        <v>0.25641025641025639</v>
      </c>
      <c r="I15" s="1857">
        <f>'2. Променливи'!I71/'2. Променливи'!I25</f>
        <v>0.39097744360902253</v>
      </c>
      <c r="J15" s="1857">
        <f>'2. Променливи'!J71/'2. Променливи'!J25</f>
        <v>0.57714285714285718</v>
      </c>
      <c r="K15" s="1858">
        <f>'2. Променливи'!K71/'2. Променливи'!K25</f>
        <v>0.8</v>
      </c>
      <c r="L15" s="731">
        <v>2</v>
      </c>
      <c r="M15" s="731">
        <v>1</v>
      </c>
      <c r="N15" s="3017">
        <v>0.8</v>
      </c>
      <c r="O15" s="1945">
        <v>1</v>
      </c>
    </row>
    <row r="16" spans="1:15" ht="14.25">
      <c r="A16" s="670">
        <v>10</v>
      </c>
      <c r="B16" s="668" t="s">
        <v>143</v>
      </c>
      <c r="C16" s="48" t="s">
        <v>1028</v>
      </c>
      <c r="D16" s="666" t="s">
        <v>226</v>
      </c>
      <c r="E16" s="400">
        <f>'2. Променливи'!E9/'2. Променливи'!E11</f>
        <v>0.77925824304896496</v>
      </c>
      <c r="F16" s="401">
        <f>'2. Променливи'!F9/'2. Променливи'!F11</f>
        <v>0.78323442276930644</v>
      </c>
      <c r="G16" s="401">
        <f>'2. Променливи'!G9/'2. Променливи'!G11</f>
        <v>0.78324442092516577</v>
      </c>
      <c r="H16" s="1851">
        <f>'2. Променливи'!H9/'2. Променливи'!H11</f>
        <v>0.81609697761427002</v>
      </c>
      <c r="I16" s="1851">
        <f>'2. Променливи'!I9/'2. Променливи'!I11</f>
        <v>0.8488007702254986</v>
      </c>
      <c r="J16" s="1851">
        <f>'2. Променливи'!J9/'2. Променливи'!J11</f>
        <v>0.83492833092833096</v>
      </c>
      <c r="K16" s="1852">
        <f>'2. Променливи'!K9/'2. Променливи'!K11</f>
        <v>0.83496336313959263</v>
      </c>
      <c r="L16" s="731">
        <v>1</v>
      </c>
      <c r="M16" s="731">
        <v>1</v>
      </c>
      <c r="N16" s="731"/>
      <c r="O16" s="1945">
        <v>0.75</v>
      </c>
    </row>
    <row r="17" spans="1:15" ht="14.25">
      <c r="A17" s="670">
        <v>11</v>
      </c>
      <c r="B17" s="668" t="s">
        <v>144</v>
      </c>
      <c r="C17" s="48" t="s">
        <v>1029</v>
      </c>
      <c r="D17" s="666" t="s">
        <v>226</v>
      </c>
      <c r="E17" s="400">
        <f>'2. Променливи'!E10/'2. Променливи'!E11</f>
        <v>0.42126701934732153</v>
      </c>
      <c r="F17" s="401">
        <f>'2. Променливи'!F10/'2. Променливи'!F11</f>
        <v>0.42251848065801556</v>
      </c>
      <c r="G17" s="401">
        <f>'2. Променливи'!G10/'2. Променливи'!G11</f>
        <v>0.42252225193914861</v>
      </c>
      <c r="H17" s="1851">
        <f>'2. Променливи'!H10/'2. Променливи'!H11</f>
        <v>0.44656193417317841</v>
      </c>
      <c r="I17" s="1851">
        <f>'2. Променливи'!I10/'2. Променливи'!I11</f>
        <v>0.52449430354058313</v>
      </c>
      <c r="J17" s="1851">
        <f>'2. Променливи'!J10/'2. Променливи'!J11</f>
        <v>0.43144203944203946</v>
      </c>
      <c r="K17" s="1852">
        <f>'2. Променливи'!K10/'2. Променливи'!K11</f>
        <v>0.43155039120715349</v>
      </c>
      <c r="L17" s="731">
        <v>1</v>
      </c>
      <c r="M17" s="731">
        <v>1</v>
      </c>
      <c r="N17" s="731"/>
      <c r="O17" s="1945">
        <v>0.75</v>
      </c>
    </row>
    <row r="18" spans="1:15" ht="14.25">
      <c r="A18" s="670">
        <v>12</v>
      </c>
      <c r="B18" s="668" t="s">
        <v>145</v>
      </c>
      <c r="C18" s="48" t="s">
        <v>1030</v>
      </c>
      <c r="D18" s="666" t="s">
        <v>226</v>
      </c>
      <c r="E18" s="400">
        <f>'2. Променливи'!E54/'2. Променливи'!E55</f>
        <v>0.94444444444444442</v>
      </c>
      <c r="F18" s="401">
        <f>'2. Променливи'!F54/'2. Променливи'!F55</f>
        <v>0.97222222222222221</v>
      </c>
      <c r="G18" s="401">
        <f>'2. Променливи'!G54/'2. Променливи'!G55</f>
        <v>0.97222222222222221</v>
      </c>
      <c r="H18" s="1851">
        <f>'2. Променливи'!H54/'2. Променливи'!H55</f>
        <v>0.98333333333333328</v>
      </c>
      <c r="I18" s="1851">
        <f>'2. Променливи'!I54/'2. Променливи'!I55</f>
        <v>0.99479166666666663</v>
      </c>
      <c r="J18" s="1851">
        <f>'2. Променливи'!J54/'2. Променливи'!J55</f>
        <v>0.99537037037037035</v>
      </c>
      <c r="K18" s="1852">
        <f>'2. Променливи'!K54/'2. Променливи'!K55</f>
        <v>0.99537037037037035</v>
      </c>
      <c r="L18" s="731">
        <v>2</v>
      </c>
      <c r="M18" s="731">
        <v>1</v>
      </c>
      <c r="N18" s="3017">
        <v>0.93</v>
      </c>
      <c r="O18" s="1945">
        <v>0.93</v>
      </c>
    </row>
    <row r="19" spans="1:15" ht="14.25">
      <c r="A19" s="670">
        <v>13</v>
      </c>
      <c r="B19" s="668" t="s">
        <v>146</v>
      </c>
      <c r="C19" s="48" t="s">
        <v>1031</v>
      </c>
      <c r="D19" s="666" t="s">
        <v>1018</v>
      </c>
      <c r="E19" s="404">
        <f>('2. Променливи'!E58+'2. Променливи'!E59+'2. Променливи'!E60)/'2. Променливи'!E29*100</f>
        <v>30.133333333333333</v>
      </c>
      <c r="F19" s="404">
        <f>('2. Променливи'!F58+'2. Променливи'!F59+'2. Променливи'!F60)/'2. Променливи'!F29*100</f>
        <v>29.333333333333332</v>
      </c>
      <c r="G19" s="404">
        <f>('2. Променливи'!G58+'2. Променливи'!G59+'2. Променливи'!G60)/'2. Променливи'!G29*100</f>
        <v>28.266666666666669</v>
      </c>
      <c r="H19" s="1859">
        <f>('2. Променливи'!H58+'2. Променливи'!H59+'2. Променливи'!H60)/'2. Променливи'!H29*100</f>
        <v>27.532467532467532</v>
      </c>
      <c r="I19" s="1859">
        <f>('2. Променливи'!I58+'2. Променливи'!I59+'2. Променливи'!I60)/'2. Променливи'!I29*100</f>
        <v>27.469879518072286</v>
      </c>
      <c r="J19" s="1859">
        <f>('2. Променливи'!J58+'2. Променливи'!J59+'2. Променливи'!J60)/'2. Променливи'!J29*100</f>
        <v>27.920792079207924</v>
      </c>
      <c r="K19" s="1860">
        <f>('2. Променливи'!K58+'2. Променливи'!K59+'2. Променливи'!K60)/'2. Променливи'!K29*100</f>
        <v>27.128712871287131</v>
      </c>
      <c r="L19" s="731">
        <v>2</v>
      </c>
      <c r="M19" s="731">
        <v>1</v>
      </c>
      <c r="N19" s="731">
        <v>28.65</v>
      </c>
      <c r="O19" s="1946">
        <v>120</v>
      </c>
    </row>
    <row r="20" spans="1:15" ht="14.25">
      <c r="A20" s="670">
        <v>14</v>
      </c>
      <c r="B20" s="668" t="s">
        <v>147</v>
      </c>
      <c r="C20" s="121" t="s">
        <v>1032</v>
      </c>
      <c r="D20" s="666" t="s">
        <v>1019</v>
      </c>
      <c r="E20" s="404">
        <f>'2. Променливи'!E103/'2. Променливи'!E12*10000</f>
        <v>0.51969109561276772</v>
      </c>
      <c r="F20" s="405">
        <f>'2. Променливи'!F103/'2. Променливи'!F12*10000</f>
        <v>0.41669705082662278</v>
      </c>
      <c r="G20" s="405">
        <f>'2. Променливи'!G103/'2. Променливи'!G12*10000</f>
        <v>0.41949388063301629</v>
      </c>
      <c r="H20" s="1861">
        <f>'2. Променливи'!H103/'2. Променливи'!H12*10000</f>
        <v>0.41788986512604603</v>
      </c>
      <c r="I20" s="1861">
        <f>'2. Променливи'!I103/'2. Променливи'!I12*10000</f>
        <v>0.40791352233326533</v>
      </c>
      <c r="J20" s="1861">
        <f>'2. Променливи'!J103/'2. Променливи'!J12*10000</f>
        <v>0.33995971477379927</v>
      </c>
      <c r="K20" s="1862">
        <f>'2. Променливи'!K103/'2. Променливи'!K12*10000</f>
        <v>0.25694831056485801</v>
      </c>
      <c r="L20" s="731">
        <v>1</v>
      </c>
      <c r="M20" s="731">
        <v>1</v>
      </c>
      <c r="N20" s="731"/>
      <c r="O20" s="1946">
        <v>0.5</v>
      </c>
    </row>
    <row r="21" spans="1:15" ht="14.25">
      <c r="A21" s="670">
        <v>15</v>
      </c>
      <c r="B21" s="668" t="s">
        <v>148</v>
      </c>
      <c r="C21" s="121" t="s">
        <v>1033</v>
      </c>
      <c r="D21" s="666" t="s">
        <v>1484</v>
      </c>
      <c r="E21" s="402">
        <f>'2. Променливи'!E78/'2. Променливи'!E61</f>
        <v>4.360046332550694E-2</v>
      </c>
      <c r="F21" s="402">
        <f>'2. Променливи'!F78/'2. Променливи'!F61</f>
        <v>5.4888036936332887E-2</v>
      </c>
      <c r="G21" s="402">
        <f>'2. Променливи'!G78/'2. Променливи'!G61</f>
        <v>6.66611152569693E-2</v>
      </c>
      <c r="H21" s="1855">
        <f>'2. Променливи'!H78/'2. Променливи'!H61</f>
        <v>6.5728601451301313E-2</v>
      </c>
      <c r="I21" s="1855">
        <f>'2. Променливи'!I78/'2. Променливи'!I61</f>
        <v>6.5073331555930758E-2</v>
      </c>
      <c r="J21" s="1855">
        <f>'2. Променливи'!J78/'2. Променливи'!J61</f>
        <v>0.11306013639500322</v>
      </c>
      <c r="K21" s="1856">
        <f>'2. Променливи'!K78/'2. Променливи'!K61</f>
        <v>0.10896091024061891</v>
      </c>
      <c r="L21" s="731">
        <v>2</v>
      </c>
      <c r="M21" s="731">
        <v>1</v>
      </c>
      <c r="N21" s="731">
        <v>0.12</v>
      </c>
      <c r="O21" s="1946">
        <v>0.45</v>
      </c>
    </row>
    <row r="22" spans="1:15" ht="14.25">
      <c r="A22" s="670">
        <v>16</v>
      </c>
      <c r="B22" s="668" t="s">
        <v>149</v>
      </c>
      <c r="C22" s="121" t="s">
        <v>1034</v>
      </c>
      <c r="D22" s="666" t="s">
        <v>1484</v>
      </c>
      <c r="E22" s="406">
        <f>'2. Променливи'!E79/'2. Променливи'!E64</f>
        <v>0.19216002029270693</v>
      </c>
      <c r="F22" s="407">
        <f>'2. Променливи'!F79/'2. Променливи'!F64</f>
        <v>0.17060674567000911</v>
      </c>
      <c r="G22" s="407">
        <f>'2. Променливи'!G79/'2. Променливи'!G64</f>
        <v>0.18511238587182505</v>
      </c>
      <c r="H22" s="1863">
        <f>'2. Променливи'!H79/'2. Променливи'!H64</f>
        <v>0.18810905164657188</v>
      </c>
      <c r="I22" s="1863">
        <f>'2. Променливи'!I79/'2. Променливи'!I64</f>
        <v>0.2634155431327414</v>
      </c>
      <c r="J22" s="1863">
        <f>'2. Променливи'!J79/'2. Променливи'!J64</f>
        <v>0.27485702904323894</v>
      </c>
      <c r="K22" s="1864">
        <f>'2. Променливи'!K79/'2. Променливи'!K64</f>
        <v>0.26870428043745925</v>
      </c>
      <c r="L22" s="731">
        <v>2</v>
      </c>
      <c r="M22" s="731">
        <v>1</v>
      </c>
      <c r="N22" s="731"/>
      <c r="O22" s="1946">
        <v>0.25</v>
      </c>
    </row>
    <row r="23" spans="1:15" ht="14.25">
      <c r="A23" s="670">
        <v>17</v>
      </c>
      <c r="B23" s="668" t="s">
        <v>150</v>
      </c>
      <c r="C23" s="48" t="s">
        <v>1035</v>
      </c>
      <c r="D23" s="666" t="s">
        <v>226</v>
      </c>
      <c r="E23" s="400">
        <f>'2. Променливи'!E80/'2. Променливи'!E81</f>
        <v>1.4657534246575343</v>
      </c>
      <c r="F23" s="401">
        <f>'2. Променливи'!F80/'2. Променливи'!F81</f>
        <v>0.9193825042881647</v>
      </c>
      <c r="G23" s="401">
        <f>'2. Променливи'!G80/'2. Променливи'!G81</f>
        <v>1.0291595197255574</v>
      </c>
      <c r="H23" s="1851">
        <f>'2. Променливи'!H80/'2. Променливи'!H81</f>
        <v>0.77186963979416812</v>
      </c>
      <c r="I23" s="1851">
        <f>'2. Променливи'!I80/'2. Променливи'!I81</f>
        <v>0.97465886939571145</v>
      </c>
      <c r="J23" s="1851">
        <f>'2. Променливи'!J80/'2. Променливи'!J81</f>
        <v>0.94752186588921283</v>
      </c>
      <c r="K23" s="1852">
        <f>'2. Променливи'!K80/'2. Променливи'!K81</f>
        <v>0.94339622641509435</v>
      </c>
      <c r="L23" s="731">
        <v>3</v>
      </c>
      <c r="M23" s="731">
        <v>1</v>
      </c>
      <c r="N23" s="3017">
        <v>0.9</v>
      </c>
      <c r="O23" s="1945">
        <v>1</v>
      </c>
    </row>
    <row r="24" spans="1:15" ht="14.25">
      <c r="A24" s="670">
        <v>18</v>
      </c>
      <c r="B24" s="668" t="s">
        <v>151</v>
      </c>
      <c r="C24" s="48" t="s">
        <v>1036</v>
      </c>
      <c r="D24" s="666" t="s">
        <v>226</v>
      </c>
      <c r="E24" s="400">
        <f>'2. Променливи'!E76/'2. Променливи'!E23</f>
        <v>9.3457943925233638E-3</v>
      </c>
      <c r="F24" s="401">
        <f>'2. Променливи'!F76/'2. Променливи'!F23</f>
        <v>1.0013351134846462E-2</v>
      </c>
      <c r="G24" s="401">
        <f>'2. Променливи'!G76/'2. Променливи'!G23</f>
        <v>9.6525096525096523E-3</v>
      </c>
      <c r="H24" s="1851">
        <f>'2. Променливи'!H76/'2. Променливи'!H23</f>
        <v>9.5969289827255271E-3</v>
      </c>
      <c r="I24" s="1851">
        <f>'2. Променливи'!I76/'2. Променливи'!I23</f>
        <v>9.8665118978525819E-3</v>
      </c>
      <c r="J24" s="1851">
        <f>'2. Променливи'!J76/'2. Променливи'!J23</f>
        <v>1.0497489730716568E-2</v>
      </c>
      <c r="K24" s="1852">
        <f>'2. Променливи'!K76/'2. Променливи'!K23</f>
        <v>1.0497489730716568E-2</v>
      </c>
      <c r="L24" s="731">
        <v>2</v>
      </c>
      <c r="M24" s="731">
        <v>1</v>
      </c>
      <c r="N24" s="3018">
        <v>1.04E-2</v>
      </c>
      <c r="O24" s="1947">
        <v>1.2500000000000001E-2</v>
      </c>
    </row>
    <row r="25" spans="1:15" ht="14.25">
      <c r="A25" s="670">
        <v>19</v>
      </c>
      <c r="B25" s="668" t="s">
        <v>1044</v>
      </c>
      <c r="C25" s="48" t="s">
        <v>1045</v>
      </c>
      <c r="D25" s="666" t="s">
        <v>226</v>
      </c>
      <c r="E25" s="400">
        <f>'2. Променливи'!E77/'2. Променливи'!E23</f>
        <v>2.0026702269692926E-3</v>
      </c>
      <c r="F25" s="400">
        <f>'2. Променливи'!F77/'2. Променливи'!F23</f>
        <v>3.3377837116154874E-3</v>
      </c>
      <c r="G25" s="400">
        <f>'2. Променливи'!G77/'2. Променливи'!G23</f>
        <v>4.5045045045045045E-3</v>
      </c>
      <c r="H25" s="1857">
        <f>'2. Променливи'!H77/'2. Променливи'!H23</f>
        <v>6.3979526551503517E-3</v>
      </c>
      <c r="I25" s="1857">
        <f>'2. Променливи'!I77/'2. Променливи'!I23</f>
        <v>8.1253627394080093E-3</v>
      </c>
      <c r="J25" s="1857">
        <f>'2. Променливи'!J77/'2. Променливи'!J23</f>
        <v>7.3026015518028297E-3</v>
      </c>
      <c r="K25" s="1857">
        <f>'2. Променливи'!K77/'2. Променливи'!K23</f>
        <v>8.2154267457781836E-3</v>
      </c>
      <c r="L25" s="731">
        <v>3</v>
      </c>
      <c r="M25" s="731">
        <v>1</v>
      </c>
      <c r="N25" s="3018">
        <v>8.0000000000000002E-3</v>
      </c>
      <c r="O25" s="1947">
        <v>1.2500000000000001E-2</v>
      </c>
    </row>
    <row r="26" spans="1:15" ht="14.25">
      <c r="A26" s="670">
        <v>20</v>
      </c>
      <c r="B26" s="668" t="s">
        <v>152</v>
      </c>
      <c r="C26" s="48" t="s">
        <v>55</v>
      </c>
      <c r="D26" s="666" t="s">
        <v>1472</v>
      </c>
      <c r="E26" s="402">
        <f>'2. Променливи'!E82/'2. Променливи'!E83</f>
        <v>0.92380998044874774</v>
      </c>
      <c r="F26" s="403">
        <f>'2. Променливи'!F82/'2. Променливи'!F83</f>
        <v>0.83443601536805467</v>
      </c>
      <c r="G26" s="403">
        <f>'2. Променливи'!G82/'2. Променливи'!G83</f>
        <v>1.0612863379219117</v>
      </c>
      <c r="H26" s="1853">
        <f>'2. Променливи'!H82/'2. Променливи'!H83</f>
        <v>1.0718515744065491</v>
      </c>
      <c r="I26" s="1853">
        <f>'2. Променливи'!I82/'2. Променливи'!I83</f>
        <v>1.0825196009196756</v>
      </c>
      <c r="J26" s="1853">
        <f>'2. Променливи'!J82/'2. Променливи'!J83</f>
        <v>1.0826048252497023</v>
      </c>
      <c r="K26" s="1854">
        <f>'2. Променливи'!K82/'2. Променливи'!K83</f>
        <v>1.0927074436303585</v>
      </c>
      <c r="L26" s="731">
        <v>1</v>
      </c>
      <c r="M26" s="731">
        <v>1</v>
      </c>
      <c r="N26" s="731">
        <v>1.1000000000000001</v>
      </c>
      <c r="O26" s="1946">
        <v>1.1000000000000001</v>
      </c>
    </row>
    <row r="27" spans="1:15" ht="14.25">
      <c r="A27" s="670">
        <v>21</v>
      </c>
      <c r="B27" s="668" t="s">
        <v>153</v>
      </c>
      <c r="C27" s="48" t="s">
        <v>58</v>
      </c>
      <c r="D27" s="666" t="s">
        <v>1472</v>
      </c>
      <c r="E27" s="402">
        <f>'2. Променливи'!E84/'2. Променливи'!E85</f>
        <v>1.3145642290020572</v>
      </c>
      <c r="F27" s="403">
        <f>'2. Променливи'!F84/'2. Променливи'!F85</f>
        <v>1.0819012237193582</v>
      </c>
      <c r="G27" s="403">
        <f>'2. Променливи'!G84/'2. Променливи'!G85</f>
        <v>1.1488098669294438</v>
      </c>
      <c r="H27" s="1853">
        <f>'2. Променливи'!H84/'2. Променливи'!H85</f>
        <v>1.127353249277566</v>
      </c>
      <c r="I27" s="1853">
        <f>'2. Променливи'!I84/'2. Променливи'!I85</f>
        <v>1.1172055325568409</v>
      </c>
      <c r="J27" s="1853">
        <f>'2. Променливи'!J84/'2. Променливи'!J85</f>
        <v>1.1397185313616827</v>
      </c>
      <c r="K27" s="1854">
        <f>'2. Променливи'!K84/'2. Променливи'!K85</f>
        <v>1.1750789087117006</v>
      </c>
      <c r="L27" s="731">
        <v>1</v>
      </c>
      <c r="M27" s="731">
        <v>1</v>
      </c>
      <c r="N27" s="731">
        <v>1.1000000000000001</v>
      </c>
      <c r="O27" s="1946">
        <v>1.1000000000000001</v>
      </c>
    </row>
    <row r="28" spans="1:15" ht="14.25">
      <c r="A28" s="670">
        <v>22</v>
      </c>
      <c r="B28" s="668" t="s">
        <v>154</v>
      </c>
      <c r="C28" s="48" t="s">
        <v>61</v>
      </c>
      <c r="D28" s="666" t="s">
        <v>1472</v>
      </c>
      <c r="E28" s="402">
        <f>'2. Променливи'!E86/'2. Променливи'!E87</f>
        <v>0.7990343686450847</v>
      </c>
      <c r="F28" s="403">
        <f>'2. Променливи'!F86/'2. Променливи'!F87</f>
        <v>0.76299037069381559</v>
      </c>
      <c r="G28" s="403">
        <f>'2. Променливи'!G86/'2. Променливи'!G87</f>
        <v>1.0293360054608782</v>
      </c>
      <c r="H28" s="1853">
        <f>'2. Променливи'!H86/'2. Променливи'!H87</f>
        <v>1.0413497298472236</v>
      </c>
      <c r="I28" s="1853">
        <f>'2. Променливи'!I86/'2. Променливи'!I87</f>
        <v>1.0395428427589222</v>
      </c>
      <c r="J28" s="1853">
        <f>'2. Променливи'!J86/'2. Променливи'!J87</f>
        <v>1.0401056337336607</v>
      </c>
      <c r="K28" s="1854">
        <f>'2. Променливи'!K86/'2. Променливи'!K87</f>
        <v>1.0405588093205635</v>
      </c>
      <c r="L28" s="731">
        <v>1</v>
      </c>
      <c r="M28" s="731">
        <v>1</v>
      </c>
      <c r="N28" s="731">
        <v>1.1000000000000001</v>
      </c>
      <c r="O28" s="1946">
        <v>1.1000000000000001</v>
      </c>
    </row>
    <row r="29" spans="1:15" ht="14.25">
      <c r="A29" s="670">
        <v>23</v>
      </c>
      <c r="B29" s="668" t="s">
        <v>155</v>
      </c>
      <c r="C29" s="48" t="s">
        <v>1037</v>
      </c>
      <c r="D29" s="666" t="s">
        <v>226</v>
      </c>
      <c r="E29" s="400">
        <f>('2. Променливи'!E88-('2. Променливи'!E89-'2. Променливи'!E90))/('2. Променливи'!E88+'2. Променливи'!E90)</f>
        <v>0.89485801445490809</v>
      </c>
      <c r="F29" s="401">
        <f>('2. Променливи'!F88-('2. Променливи'!F89-'2. Променливи'!F90))/('2. Променливи'!F88+'2. Променливи'!F90)</f>
        <v>0.89863321505054505</v>
      </c>
      <c r="G29" s="401">
        <f>('2. Променливи'!G88-('2. Променливи'!G89-'2. Променливи'!G90))/('2. Променливи'!G88+'2. Променливи'!G90)</f>
        <v>0.91833565834175734</v>
      </c>
      <c r="H29" s="1851">
        <f>('2. Променливи'!H88-('2. Променливи'!H89-'2. Променливи'!H90))/('2. Променливи'!H88+'2. Променливи'!H90)</f>
        <v>0.93183347536390237</v>
      </c>
      <c r="I29" s="1851">
        <f>('2. Променливи'!I88-('2. Променливи'!I89-'2. Променливи'!I90))/('2. Променливи'!I88+'2. Променливи'!I90)</f>
        <v>0.94102787773906837</v>
      </c>
      <c r="J29" s="1851">
        <f>('2. Променливи'!J88-('2. Променливи'!J89-'2. Променливи'!J90))/('2. Променливи'!J88+'2. Променливи'!J90)</f>
        <v>0.89918068652149363</v>
      </c>
      <c r="K29" s="1852">
        <f>('2. Променливи'!K88-('2. Променливи'!K89-'2. Променливи'!K90))/('2. Променливи'!K88+'2. Променливи'!K90)</f>
        <v>0.90446689662005797</v>
      </c>
      <c r="L29" s="731">
        <v>1</v>
      </c>
      <c r="M29" s="731">
        <v>1</v>
      </c>
      <c r="N29" s="3018">
        <v>0.89680000000000004</v>
      </c>
      <c r="O29" s="1945">
        <v>0.95</v>
      </c>
    </row>
    <row r="30" spans="1:15" ht="14.25">
      <c r="A30" s="670">
        <v>24</v>
      </c>
      <c r="B30" s="668" t="s">
        <v>1046</v>
      </c>
      <c r="C30" s="48" t="s">
        <v>1048</v>
      </c>
      <c r="D30" s="666" t="s">
        <v>226</v>
      </c>
      <c r="E30" s="400">
        <f>'2. Променливи'!E72/'2. Променливи'!E27</f>
        <v>0.13699863940363721</v>
      </c>
      <c r="F30" s="400">
        <f>'2. Променливи'!F72/'2. Променливи'!F27</f>
        <v>0.15314521995482216</v>
      </c>
      <c r="G30" s="400">
        <f>'2. Променливи'!G72/'2. Променливи'!G27</f>
        <v>0.15811600133933554</v>
      </c>
      <c r="H30" s="1857">
        <f>'2. Променливи'!H72/'2. Променливи'!H27</f>
        <v>0.1574715624884212</v>
      </c>
      <c r="I30" s="1857">
        <f>'2. Променливи'!I72/'2. Променливи'!I27</f>
        <v>0.16283626350349503</v>
      </c>
      <c r="J30" s="1857">
        <f>'2. Променливи'!J72/'2. Променливи'!J27</f>
        <v>0.12691351563522177</v>
      </c>
      <c r="K30" s="1858">
        <f>'2. Променливи'!K72/'2. Променливи'!K27</f>
        <v>0.14015645371577576</v>
      </c>
      <c r="L30" s="731">
        <v>2</v>
      </c>
      <c r="M30" s="731">
        <v>1</v>
      </c>
      <c r="N30" s="3017">
        <v>0.14000000000000001</v>
      </c>
      <c r="O30" s="1945">
        <v>0.2</v>
      </c>
    </row>
    <row r="31" spans="1:15" ht="14.25">
      <c r="A31" s="670">
        <v>25</v>
      </c>
      <c r="B31" s="668" t="s">
        <v>1047</v>
      </c>
      <c r="C31" s="48" t="s">
        <v>1049</v>
      </c>
      <c r="D31" s="666" t="s">
        <v>226</v>
      </c>
      <c r="E31" s="400">
        <f>'2. Променливи'!E73/'2. Променливи'!E27</f>
        <v>0.50999367610141233</v>
      </c>
      <c r="F31" s="400">
        <f>'2. Променливи'!F73/'2. Променливи'!F27</f>
        <v>0.55000191431524947</v>
      </c>
      <c r="G31" s="400">
        <f>'2. Променливи'!G73/'2. Променливи'!G27</f>
        <v>0.62928308344804496</v>
      </c>
      <c r="H31" s="1857">
        <f>'2. Променливи'!H73/'2. Променливи'!H27</f>
        <v>0.63951980436474121</v>
      </c>
      <c r="I31" s="1857">
        <f>'2. Променливи'!I73/'2. Променливи'!I27</f>
        <v>0.82260114382546068</v>
      </c>
      <c r="J31" s="1857">
        <f>'2. Променливи'!J73/'2. Променливи'!J27</f>
        <v>0.64808321339788044</v>
      </c>
      <c r="K31" s="1858">
        <f>'2. Променливи'!K73/'2. Променливи'!K27</f>
        <v>0.68365058670143419</v>
      </c>
      <c r="L31" s="731">
        <v>2</v>
      </c>
      <c r="M31" s="731">
        <v>1</v>
      </c>
      <c r="N31" s="3018">
        <v>0.77329999999999999</v>
      </c>
      <c r="O31" s="1945">
        <v>0.9</v>
      </c>
    </row>
    <row r="32" spans="1:15" ht="14.25">
      <c r="A32" s="670">
        <v>26</v>
      </c>
      <c r="B32" s="668" t="s">
        <v>156</v>
      </c>
      <c r="C32" s="121" t="s">
        <v>1038</v>
      </c>
      <c r="D32" s="666" t="s">
        <v>226</v>
      </c>
      <c r="E32" s="400">
        <f>'2. Променливи'!E91/'2. Променливи'!E95</f>
        <v>0.98051948051948057</v>
      </c>
      <c r="F32" s="401">
        <f>'2. Променливи'!F91/'2. Променливи'!F95</f>
        <v>0.99180327868852458</v>
      </c>
      <c r="G32" s="401">
        <f>'2. Променливи'!G91/'2. Променливи'!G95</f>
        <v>1</v>
      </c>
      <c r="H32" s="1851">
        <f>'2. Променливи'!H91/'2. Променливи'!H95</f>
        <v>1</v>
      </c>
      <c r="I32" s="1851">
        <f>'2. Променливи'!I91/'2. Променливи'!I95</f>
        <v>1</v>
      </c>
      <c r="J32" s="1851">
        <f>'2. Променливи'!J91/'2. Променливи'!J95</f>
        <v>1</v>
      </c>
      <c r="K32" s="1852">
        <f>'2. Променливи'!K91/'2. Променливи'!K95</f>
        <v>1</v>
      </c>
      <c r="L32" s="731">
        <v>1</v>
      </c>
      <c r="M32" s="731">
        <v>1</v>
      </c>
      <c r="N32" s="3017">
        <v>1</v>
      </c>
      <c r="O32" s="1945">
        <v>1</v>
      </c>
    </row>
    <row r="33" spans="1:15" ht="14.25">
      <c r="A33" s="670">
        <v>27</v>
      </c>
      <c r="B33" s="668" t="s">
        <v>157</v>
      </c>
      <c r="C33" s="121" t="s">
        <v>1039</v>
      </c>
      <c r="D33" s="666" t="s">
        <v>226</v>
      </c>
      <c r="E33" s="400">
        <f>'2. Променливи'!E107/'2. Променливи'!E108</f>
        <v>1</v>
      </c>
      <c r="F33" s="401">
        <f>'2. Променливи'!F107/'2. Променливи'!F108</f>
        <v>1</v>
      </c>
      <c r="G33" s="401">
        <f>'2. Променливи'!G107/'2. Променливи'!G108</f>
        <v>1</v>
      </c>
      <c r="H33" s="1851">
        <f>'2. Променливи'!H107/'2. Променливи'!H108</f>
        <v>1</v>
      </c>
      <c r="I33" s="1851">
        <f>'2. Променливи'!I107/'2. Променливи'!I108</f>
        <v>1</v>
      </c>
      <c r="J33" s="1851">
        <f>'2. Променливи'!J107/'2. Променливи'!J108</f>
        <v>1</v>
      </c>
      <c r="K33" s="1852">
        <f>'2. Променливи'!K107/'2. Променливи'!K108</f>
        <v>1</v>
      </c>
      <c r="L33" s="731">
        <v>2</v>
      </c>
      <c r="M33" s="731">
        <v>1</v>
      </c>
      <c r="N33" s="3017">
        <v>1</v>
      </c>
      <c r="O33" s="1945">
        <v>1</v>
      </c>
    </row>
    <row r="34" spans="1:15" ht="14.25">
      <c r="A34" s="670">
        <v>28</v>
      </c>
      <c r="B34" s="668" t="s">
        <v>158</v>
      </c>
      <c r="C34" s="48" t="s">
        <v>1040</v>
      </c>
      <c r="D34" s="666" t="s">
        <v>226</v>
      </c>
      <c r="E34" s="400">
        <f>'2. Променливи'!E109/'2. Променливи'!E110</f>
        <v>1</v>
      </c>
      <c r="F34" s="401">
        <f>'2. Променливи'!F109/'2. Променливи'!F110</f>
        <v>1</v>
      </c>
      <c r="G34" s="401">
        <f>'2. Променливи'!G109/'2. Променливи'!G110</f>
        <v>1</v>
      </c>
      <c r="H34" s="1851">
        <f>'2. Променливи'!H109/'2. Променливи'!H110</f>
        <v>1</v>
      </c>
      <c r="I34" s="1851">
        <f>'2. Променливи'!I109/'2. Променливи'!I110</f>
        <v>1</v>
      </c>
      <c r="J34" s="1851">
        <f>'2. Променливи'!J109/'2. Променливи'!J110</f>
        <v>1</v>
      </c>
      <c r="K34" s="1852">
        <f>'2. Променливи'!K109/'2. Променливи'!K110</f>
        <v>1</v>
      </c>
      <c r="L34" s="731">
        <v>2</v>
      </c>
      <c r="M34" s="731">
        <v>1</v>
      </c>
      <c r="N34" s="3017">
        <v>1</v>
      </c>
      <c r="O34" s="1945">
        <v>1</v>
      </c>
    </row>
    <row r="35" spans="1:15" ht="14.25">
      <c r="A35" s="670">
        <v>29</v>
      </c>
      <c r="B35" s="668" t="s">
        <v>159</v>
      </c>
      <c r="C35" s="121" t="s">
        <v>1041</v>
      </c>
      <c r="D35" s="666" t="s">
        <v>1016</v>
      </c>
      <c r="E35" s="402">
        <f>'2. Променливи'!E111/'2. Променливи'!E26*1000</f>
        <v>8.3208135906621976</v>
      </c>
      <c r="F35" s="403">
        <f>'2. Променливи'!F111/'2. Променливи'!F26*1000</f>
        <v>8.2473435881698567</v>
      </c>
      <c r="G35" s="403">
        <f>'2. Променливи'!G111/'2. Променливи'!G26*1000</f>
        <v>8.1485873869048753</v>
      </c>
      <c r="H35" s="1855">
        <f>'2. Променливи'!H111/'2. Променливи'!H26*1000</f>
        <v>8.114440275052857</v>
      </c>
      <c r="I35" s="1853">
        <f>'2. Променливи'!I111/'2. Променливи'!I26*1000</f>
        <v>7.8120800559029586</v>
      </c>
      <c r="J35" s="1853">
        <f>'2. Променливи'!J111/'2. Променливи'!J26*1000</f>
        <v>6.8248635027299462</v>
      </c>
      <c r="K35" s="1856">
        <f>'2. Променливи'!K111/'2. Променливи'!K26*1000</f>
        <v>6.7701798410706822</v>
      </c>
      <c r="L35" s="731">
        <v>2</v>
      </c>
      <c r="M35" s="731">
        <v>1</v>
      </c>
      <c r="N35" s="731">
        <v>6.95</v>
      </c>
      <c r="O35" s="1946">
        <v>4</v>
      </c>
    </row>
    <row r="36" spans="1:15" ht="21.75" customHeight="1" thickBot="1">
      <c r="A36" s="671">
        <v>30</v>
      </c>
      <c r="B36" s="669" t="s">
        <v>160</v>
      </c>
      <c r="C36" s="122" t="s">
        <v>1042</v>
      </c>
      <c r="D36" s="672" t="s">
        <v>1017</v>
      </c>
      <c r="E36" s="408">
        <f>'2. Променливи'!E112/'2. Променливи'!E28*1000</f>
        <v>2.5090954710826749</v>
      </c>
      <c r="F36" s="408">
        <f>'2. Променливи'!F112/'2. Променливи'!F28*1000</f>
        <v>2.5637818909454726</v>
      </c>
      <c r="G36" s="408">
        <f>'2. Променливи'!G112/'2. Променливи'!G28*1000</f>
        <v>2.558741847910881</v>
      </c>
      <c r="H36" s="1865">
        <f>'2. Променливи'!H112/'2. Променливи'!H28*1000</f>
        <v>2.6129965471117056</v>
      </c>
      <c r="I36" s="1865">
        <f>'2. Променливи'!I112/'2. Променливи'!I28*1000</f>
        <v>2.8750872295882766</v>
      </c>
      <c r="J36" s="1865">
        <f>'2. Променливи'!J112/'2. Променливи'!J28*1000</f>
        <v>2.3640162948266039</v>
      </c>
      <c r="K36" s="1866">
        <f>'2. Променливи'!K112/'2. Променливи'!K28*1000</f>
        <v>2.3575473088176477</v>
      </c>
      <c r="L36" s="732">
        <v>2</v>
      </c>
      <c r="M36" s="732">
        <v>1</v>
      </c>
      <c r="N36" s="732">
        <v>2.15</v>
      </c>
      <c r="O36" s="1948">
        <v>3</v>
      </c>
    </row>
    <row r="37" spans="1:15">
      <c r="F37" s="1180"/>
      <c r="G37" s="1180"/>
      <c r="H37" s="1180"/>
    </row>
    <row r="38" spans="1:15">
      <c r="E38" s="1180"/>
    </row>
    <row r="39" spans="1:15">
      <c r="E39" s="1180"/>
      <c r="F39" s="1180"/>
      <c r="G39" s="1180"/>
      <c r="H39" s="1180"/>
    </row>
    <row r="40" spans="1:15">
      <c r="E40" s="1180"/>
      <c r="F40" s="1180"/>
      <c r="G40" s="1180"/>
      <c r="H40" s="1180"/>
    </row>
    <row r="41" spans="1:15">
      <c r="C41" s="233" t="str">
        <f>'2. Променливи'!C117</f>
        <v>Дата: 27.08.2018 г.</v>
      </c>
    </row>
    <row r="42" spans="1:15">
      <c r="E42" s="232" t="str">
        <f>'2. Променливи'!E115</f>
        <v>Главен счетоводител:</v>
      </c>
      <c r="G42" s="2" t="s">
        <v>4</v>
      </c>
    </row>
    <row r="43" spans="1:15">
      <c r="H43" s="2" t="s">
        <v>246</v>
      </c>
    </row>
    <row r="46" spans="1:15">
      <c r="F46" s="232" t="str">
        <f>'2. Променливи'!F118</f>
        <v>Управител:</v>
      </c>
      <c r="G46" s="2" t="s">
        <v>4</v>
      </c>
    </row>
    <row r="47" spans="1:15">
      <c r="A47" s="677" t="s">
        <v>757</v>
      </c>
      <c r="H47" s="2" t="s">
        <v>6</v>
      </c>
    </row>
    <row r="48" spans="1:15">
      <c r="A48" s="679" t="s">
        <v>248</v>
      </c>
    </row>
    <row r="49" spans="1:1">
      <c r="A49" s="679" t="s">
        <v>1533</v>
      </c>
    </row>
    <row r="50" spans="1:1">
      <c r="A50" s="2951" t="s">
        <v>1534</v>
      </c>
    </row>
  </sheetData>
  <sheetProtection password="C6DB" sheet="1" objects="1" scenarios="1" formatCells="0" formatColumns="0" formatRows="0"/>
  <mergeCells count="3">
    <mergeCell ref="A2:L2"/>
    <mergeCell ref="A3:L3"/>
    <mergeCell ref="A4:L4"/>
  </mergeCells>
  <printOptions horizontalCentered="1"/>
  <pageMargins left="0.23622047244094491" right="0.23622047244094491" top="0.82677165354330717" bottom="0.51181102362204722" header="0.31496062992125984" footer="0.31496062992125984"/>
  <pageSetup paperSize="9" scale="58"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Q84"/>
  <sheetViews>
    <sheetView view="pageBreakPreview" zoomScale="85" zoomScaleNormal="85" zoomScaleSheetLayoutView="85" workbookViewId="0">
      <pane xSplit="10" ySplit="8" topLeftCell="K9" activePane="bottomRight" state="frozen"/>
      <selection pane="topRight" activeCell="K1" sqref="K1"/>
      <selection pane="bottomLeft" activeCell="A9" sqref="A9"/>
      <selection pane="bottomRight" activeCell="H56" sqref="H56"/>
    </sheetView>
  </sheetViews>
  <sheetFormatPr defaultRowHeight="12.75"/>
  <cols>
    <col min="1" max="1" width="7" style="411" customWidth="1"/>
    <col min="2" max="2" width="56.42578125" style="413" customWidth="1"/>
    <col min="3" max="3" width="10.28515625" style="413" customWidth="1"/>
    <col min="4" max="10" width="10.7109375" style="413" customWidth="1"/>
    <col min="11" max="11" width="5.28515625" style="413" customWidth="1"/>
    <col min="12" max="12" width="9.7109375" style="413" bestFit="1" customWidth="1"/>
    <col min="13" max="255" width="9.140625" style="413"/>
    <col min="256" max="256" width="5.28515625" style="413" customWidth="1"/>
    <col min="257" max="257" width="56.42578125" style="413" customWidth="1"/>
    <col min="258" max="258" width="10.28515625" style="413" customWidth="1"/>
    <col min="259" max="265" width="10.7109375" style="413" customWidth="1"/>
    <col min="266" max="266" width="9.140625" style="413"/>
    <col min="267" max="267" width="11.28515625" style="413" bestFit="1" customWidth="1"/>
    <col min="268" max="268" width="9.7109375" style="413" bestFit="1" customWidth="1"/>
    <col min="269" max="511" width="9.140625" style="413"/>
    <col min="512" max="512" width="5.28515625" style="413" customWidth="1"/>
    <col min="513" max="513" width="56.42578125" style="413" customWidth="1"/>
    <col min="514" max="514" width="10.28515625" style="413" customWidth="1"/>
    <col min="515" max="521" width="10.7109375" style="413" customWidth="1"/>
    <col min="522" max="522" width="9.140625" style="413"/>
    <col min="523" max="523" width="11.28515625" style="413" bestFit="1" customWidth="1"/>
    <col min="524" max="524" width="9.7109375" style="413" bestFit="1" customWidth="1"/>
    <col min="525" max="767" width="9.140625" style="413"/>
    <col min="768" max="768" width="5.28515625" style="413" customWidth="1"/>
    <col min="769" max="769" width="56.42578125" style="413" customWidth="1"/>
    <col min="770" max="770" width="10.28515625" style="413" customWidth="1"/>
    <col min="771" max="777" width="10.7109375" style="413" customWidth="1"/>
    <col min="778" max="778" width="9.140625" style="413"/>
    <col min="779" max="779" width="11.28515625" style="413" bestFit="1" customWidth="1"/>
    <col min="780" max="780" width="9.7109375" style="413" bestFit="1" customWidth="1"/>
    <col min="781" max="1023" width="9.140625" style="413"/>
    <col min="1024" max="1024" width="5.28515625" style="413" customWidth="1"/>
    <col min="1025" max="1025" width="56.42578125" style="413" customWidth="1"/>
    <col min="1026" max="1026" width="10.28515625" style="413" customWidth="1"/>
    <col min="1027" max="1033" width="10.7109375" style="413" customWidth="1"/>
    <col min="1034" max="1034" width="9.140625" style="413"/>
    <col min="1035" max="1035" width="11.28515625" style="413" bestFit="1" customWidth="1"/>
    <col min="1036" max="1036" width="9.7109375" style="413" bestFit="1" customWidth="1"/>
    <col min="1037" max="1279" width="9.140625" style="413"/>
    <col min="1280" max="1280" width="5.28515625" style="413" customWidth="1"/>
    <col min="1281" max="1281" width="56.42578125" style="413" customWidth="1"/>
    <col min="1282" max="1282" width="10.28515625" style="413" customWidth="1"/>
    <col min="1283" max="1289" width="10.7109375" style="413" customWidth="1"/>
    <col min="1290" max="1290" width="9.140625" style="413"/>
    <col min="1291" max="1291" width="11.28515625" style="413" bestFit="1" customWidth="1"/>
    <col min="1292" max="1292" width="9.7109375" style="413" bestFit="1" customWidth="1"/>
    <col min="1293" max="1535" width="9.140625" style="413"/>
    <col min="1536" max="1536" width="5.28515625" style="413" customWidth="1"/>
    <col min="1537" max="1537" width="56.42578125" style="413" customWidth="1"/>
    <col min="1538" max="1538" width="10.28515625" style="413" customWidth="1"/>
    <col min="1539" max="1545" width="10.7109375" style="413" customWidth="1"/>
    <col min="1546" max="1546" width="9.140625" style="413"/>
    <col min="1547" max="1547" width="11.28515625" style="413" bestFit="1" customWidth="1"/>
    <col min="1548" max="1548" width="9.7109375" style="413" bestFit="1" customWidth="1"/>
    <col min="1549" max="1791" width="9.140625" style="413"/>
    <col min="1792" max="1792" width="5.28515625" style="413" customWidth="1"/>
    <col min="1793" max="1793" width="56.42578125" style="413" customWidth="1"/>
    <col min="1794" max="1794" width="10.28515625" style="413" customWidth="1"/>
    <col min="1795" max="1801" width="10.7109375" style="413" customWidth="1"/>
    <col min="1802" max="1802" width="9.140625" style="413"/>
    <col min="1803" max="1803" width="11.28515625" style="413" bestFit="1" customWidth="1"/>
    <col min="1804" max="1804" width="9.7109375" style="413" bestFit="1" customWidth="1"/>
    <col min="1805" max="2047" width="9.140625" style="413"/>
    <col min="2048" max="2048" width="5.28515625" style="413" customWidth="1"/>
    <col min="2049" max="2049" width="56.42578125" style="413" customWidth="1"/>
    <col min="2050" max="2050" width="10.28515625" style="413" customWidth="1"/>
    <col min="2051" max="2057" width="10.7109375" style="413" customWidth="1"/>
    <col min="2058" max="2058" width="9.140625" style="413"/>
    <col min="2059" max="2059" width="11.28515625" style="413" bestFit="1" customWidth="1"/>
    <col min="2060" max="2060" width="9.7109375" style="413" bestFit="1" customWidth="1"/>
    <col min="2061" max="2303" width="9.140625" style="413"/>
    <col min="2304" max="2304" width="5.28515625" style="413" customWidth="1"/>
    <col min="2305" max="2305" width="56.42578125" style="413" customWidth="1"/>
    <col min="2306" max="2306" width="10.28515625" style="413" customWidth="1"/>
    <col min="2307" max="2313" width="10.7109375" style="413" customWidth="1"/>
    <col min="2314" max="2314" width="9.140625" style="413"/>
    <col min="2315" max="2315" width="11.28515625" style="413" bestFit="1" customWidth="1"/>
    <col min="2316" max="2316" width="9.7109375" style="413" bestFit="1" customWidth="1"/>
    <col min="2317" max="2559" width="9.140625" style="413"/>
    <col min="2560" max="2560" width="5.28515625" style="413" customWidth="1"/>
    <col min="2561" max="2561" width="56.42578125" style="413" customWidth="1"/>
    <col min="2562" max="2562" width="10.28515625" style="413" customWidth="1"/>
    <col min="2563" max="2569" width="10.7109375" style="413" customWidth="1"/>
    <col min="2570" max="2570" width="9.140625" style="413"/>
    <col min="2571" max="2571" width="11.28515625" style="413" bestFit="1" customWidth="1"/>
    <col min="2572" max="2572" width="9.7109375" style="413" bestFit="1" customWidth="1"/>
    <col min="2573" max="2815" width="9.140625" style="413"/>
    <col min="2816" max="2816" width="5.28515625" style="413" customWidth="1"/>
    <col min="2817" max="2817" width="56.42578125" style="413" customWidth="1"/>
    <col min="2818" max="2818" width="10.28515625" style="413" customWidth="1"/>
    <col min="2819" max="2825" width="10.7109375" style="413" customWidth="1"/>
    <col min="2826" max="2826" width="9.140625" style="413"/>
    <col min="2827" max="2827" width="11.28515625" style="413" bestFit="1" customWidth="1"/>
    <col min="2828" max="2828" width="9.7109375" style="413" bestFit="1" customWidth="1"/>
    <col min="2829" max="3071" width="9.140625" style="413"/>
    <col min="3072" max="3072" width="5.28515625" style="413" customWidth="1"/>
    <col min="3073" max="3073" width="56.42578125" style="413" customWidth="1"/>
    <col min="3074" max="3074" width="10.28515625" style="413" customWidth="1"/>
    <col min="3075" max="3081" width="10.7109375" style="413" customWidth="1"/>
    <col min="3082" max="3082" width="9.140625" style="413"/>
    <col min="3083" max="3083" width="11.28515625" style="413" bestFit="1" customWidth="1"/>
    <col min="3084" max="3084" width="9.7109375" style="413" bestFit="1" customWidth="1"/>
    <col min="3085" max="3327" width="9.140625" style="413"/>
    <col min="3328" max="3328" width="5.28515625" style="413" customWidth="1"/>
    <col min="3329" max="3329" width="56.42578125" style="413" customWidth="1"/>
    <col min="3330" max="3330" width="10.28515625" style="413" customWidth="1"/>
    <col min="3331" max="3337" width="10.7109375" style="413" customWidth="1"/>
    <col min="3338" max="3338" width="9.140625" style="413"/>
    <col min="3339" max="3339" width="11.28515625" style="413" bestFit="1" customWidth="1"/>
    <col min="3340" max="3340" width="9.7109375" style="413" bestFit="1" customWidth="1"/>
    <col min="3341" max="3583" width="9.140625" style="413"/>
    <col min="3584" max="3584" width="5.28515625" style="413" customWidth="1"/>
    <col min="3585" max="3585" width="56.42578125" style="413" customWidth="1"/>
    <col min="3586" max="3586" width="10.28515625" style="413" customWidth="1"/>
    <col min="3587" max="3593" width="10.7109375" style="413" customWidth="1"/>
    <col min="3594" max="3594" width="9.140625" style="413"/>
    <col min="3595" max="3595" width="11.28515625" style="413" bestFit="1" customWidth="1"/>
    <col min="3596" max="3596" width="9.7109375" style="413" bestFit="1" customWidth="1"/>
    <col min="3597" max="3839" width="9.140625" style="413"/>
    <col min="3840" max="3840" width="5.28515625" style="413" customWidth="1"/>
    <col min="3841" max="3841" width="56.42578125" style="413" customWidth="1"/>
    <col min="3842" max="3842" width="10.28515625" style="413" customWidth="1"/>
    <col min="3843" max="3849" width="10.7109375" style="413" customWidth="1"/>
    <col min="3850" max="3850" width="9.140625" style="413"/>
    <col min="3851" max="3851" width="11.28515625" style="413" bestFit="1" customWidth="1"/>
    <col min="3852" max="3852" width="9.7109375" style="413" bestFit="1" customWidth="1"/>
    <col min="3853" max="4095" width="9.140625" style="413"/>
    <col min="4096" max="4096" width="5.28515625" style="413" customWidth="1"/>
    <col min="4097" max="4097" width="56.42578125" style="413" customWidth="1"/>
    <col min="4098" max="4098" width="10.28515625" style="413" customWidth="1"/>
    <col min="4099" max="4105" width="10.7109375" style="413" customWidth="1"/>
    <col min="4106" max="4106" width="9.140625" style="413"/>
    <col min="4107" max="4107" width="11.28515625" style="413" bestFit="1" customWidth="1"/>
    <col min="4108" max="4108" width="9.7109375" style="413" bestFit="1" customWidth="1"/>
    <col min="4109" max="4351" width="9.140625" style="413"/>
    <col min="4352" max="4352" width="5.28515625" style="413" customWidth="1"/>
    <col min="4353" max="4353" width="56.42578125" style="413" customWidth="1"/>
    <col min="4354" max="4354" width="10.28515625" style="413" customWidth="1"/>
    <col min="4355" max="4361" width="10.7109375" style="413" customWidth="1"/>
    <col min="4362" max="4362" width="9.140625" style="413"/>
    <col min="4363" max="4363" width="11.28515625" style="413" bestFit="1" customWidth="1"/>
    <col min="4364" max="4364" width="9.7109375" style="413" bestFit="1" customWidth="1"/>
    <col min="4365" max="4607" width="9.140625" style="413"/>
    <col min="4608" max="4608" width="5.28515625" style="413" customWidth="1"/>
    <col min="4609" max="4609" width="56.42578125" style="413" customWidth="1"/>
    <col min="4610" max="4610" width="10.28515625" style="413" customWidth="1"/>
    <col min="4611" max="4617" width="10.7109375" style="413" customWidth="1"/>
    <col min="4618" max="4618" width="9.140625" style="413"/>
    <col min="4619" max="4619" width="11.28515625" style="413" bestFit="1" customWidth="1"/>
    <col min="4620" max="4620" width="9.7109375" style="413" bestFit="1" customWidth="1"/>
    <col min="4621" max="4863" width="9.140625" style="413"/>
    <col min="4864" max="4864" width="5.28515625" style="413" customWidth="1"/>
    <col min="4865" max="4865" width="56.42578125" style="413" customWidth="1"/>
    <col min="4866" max="4866" width="10.28515625" style="413" customWidth="1"/>
    <col min="4867" max="4873" width="10.7109375" style="413" customWidth="1"/>
    <col min="4874" max="4874" width="9.140625" style="413"/>
    <col min="4875" max="4875" width="11.28515625" style="413" bestFit="1" customWidth="1"/>
    <col min="4876" max="4876" width="9.7109375" style="413" bestFit="1" customWidth="1"/>
    <col min="4877" max="5119" width="9.140625" style="413"/>
    <col min="5120" max="5120" width="5.28515625" style="413" customWidth="1"/>
    <col min="5121" max="5121" width="56.42578125" style="413" customWidth="1"/>
    <col min="5122" max="5122" width="10.28515625" style="413" customWidth="1"/>
    <col min="5123" max="5129" width="10.7109375" style="413" customWidth="1"/>
    <col min="5130" max="5130" width="9.140625" style="413"/>
    <col min="5131" max="5131" width="11.28515625" style="413" bestFit="1" customWidth="1"/>
    <col min="5132" max="5132" width="9.7109375" style="413" bestFit="1" customWidth="1"/>
    <col min="5133" max="5375" width="9.140625" style="413"/>
    <col min="5376" max="5376" width="5.28515625" style="413" customWidth="1"/>
    <col min="5377" max="5377" width="56.42578125" style="413" customWidth="1"/>
    <col min="5378" max="5378" width="10.28515625" style="413" customWidth="1"/>
    <col min="5379" max="5385" width="10.7109375" style="413" customWidth="1"/>
    <col min="5386" max="5386" width="9.140625" style="413"/>
    <col min="5387" max="5387" width="11.28515625" style="413" bestFit="1" customWidth="1"/>
    <col min="5388" max="5388" width="9.7109375" style="413" bestFit="1" customWidth="1"/>
    <col min="5389" max="5631" width="9.140625" style="413"/>
    <col min="5632" max="5632" width="5.28515625" style="413" customWidth="1"/>
    <col min="5633" max="5633" width="56.42578125" style="413" customWidth="1"/>
    <col min="5634" max="5634" width="10.28515625" style="413" customWidth="1"/>
    <col min="5635" max="5641" width="10.7109375" style="413" customWidth="1"/>
    <col min="5642" max="5642" width="9.140625" style="413"/>
    <col min="5643" max="5643" width="11.28515625" style="413" bestFit="1" customWidth="1"/>
    <col min="5644" max="5644" width="9.7109375" style="413" bestFit="1" customWidth="1"/>
    <col min="5645" max="5887" width="9.140625" style="413"/>
    <col min="5888" max="5888" width="5.28515625" style="413" customWidth="1"/>
    <col min="5889" max="5889" width="56.42578125" style="413" customWidth="1"/>
    <col min="5890" max="5890" width="10.28515625" style="413" customWidth="1"/>
    <col min="5891" max="5897" width="10.7109375" style="413" customWidth="1"/>
    <col min="5898" max="5898" width="9.140625" style="413"/>
    <col min="5899" max="5899" width="11.28515625" style="413" bestFit="1" customWidth="1"/>
    <col min="5900" max="5900" width="9.7109375" style="413" bestFit="1" customWidth="1"/>
    <col min="5901" max="6143" width="9.140625" style="413"/>
    <col min="6144" max="6144" width="5.28515625" style="413" customWidth="1"/>
    <col min="6145" max="6145" width="56.42578125" style="413" customWidth="1"/>
    <col min="6146" max="6146" width="10.28515625" style="413" customWidth="1"/>
    <col min="6147" max="6153" width="10.7109375" style="413" customWidth="1"/>
    <col min="6154" max="6154" width="9.140625" style="413"/>
    <col min="6155" max="6155" width="11.28515625" style="413" bestFit="1" customWidth="1"/>
    <col min="6156" max="6156" width="9.7109375" style="413" bestFit="1" customWidth="1"/>
    <col min="6157" max="6399" width="9.140625" style="413"/>
    <col min="6400" max="6400" width="5.28515625" style="413" customWidth="1"/>
    <col min="6401" max="6401" width="56.42578125" style="413" customWidth="1"/>
    <col min="6402" max="6402" width="10.28515625" style="413" customWidth="1"/>
    <col min="6403" max="6409" width="10.7109375" style="413" customWidth="1"/>
    <col min="6410" max="6410" width="9.140625" style="413"/>
    <col min="6411" max="6411" width="11.28515625" style="413" bestFit="1" customWidth="1"/>
    <col min="6412" max="6412" width="9.7109375" style="413" bestFit="1" customWidth="1"/>
    <col min="6413" max="6655" width="9.140625" style="413"/>
    <col min="6656" max="6656" width="5.28515625" style="413" customWidth="1"/>
    <col min="6657" max="6657" width="56.42578125" style="413" customWidth="1"/>
    <col min="6658" max="6658" width="10.28515625" style="413" customWidth="1"/>
    <col min="6659" max="6665" width="10.7109375" style="413" customWidth="1"/>
    <col min="6666" max="6666" width="9.140625" style="413"/>
    <col min="6667" max="6667" width="11.28515625" style="413" bestFit="1" customWidth="1"/>
    <col min="6668" max="6668" width="9.7109375" style="413" bestFit="1" customWidth="1"/>
    <col min="6669" max="6911" width="9.140625" style="413"/>
    <col min="6912" max="6912" width="5.28515625" style="413" customWidth="1"/>
    <col min="6913" max="6913" width="56.42578125" style="413" customWidth="1"/>
    <col min="6914" max="6914" width="10.28515625" style="413" customWidth="1"/>
    <col min="6915" max="6921" width="10.7109375" style="413" customWidth="1"/>
    <col min="6922" max="6922" width="9.140625" style="413"/>
    <col min="6923" max="6923" width="11.28515625" style="413" bestFit="1" customWidth="1"/>
    <col min="6924" max="6924" width="9.7109375" style="413" bestFit="1" customWidth="1"/>
    <col min="6925" max="7167" width="9.140625" style="413"/>
    <col min="7168" max="7168" width="5.28515625" style="413" customWidth="1"/>
    <col min="7169" max="7169" width="56.42578125" style="413" customWidth="1"/>
    <col min="7170" max="7170" width="10.28515625" style="413" customWidth="1"/>
    <col min="7171" max="7177" width="10.7109375" style="413" customWidth="1"/>
    <col min="7178" max="7178" width="9.140625" style="413"/>
    <col min="7179" max="7179" width="11.28515625" style="413" bestFit="1" customWidth="1"/>
    <col min="7180" max="7180" width="9.7109375" style="413" bestFit="1" customWidth="1"/>
    <col min="7181" max="7423" width="9.140625" style="413"/>
    <col min="7424" max="7424" width="5.28515625" style="413" customWidth="1"/>
    <col min="7425" max="7425" width="56.42578125" style="413" customWidth="1"/>
    <col min="7426" max="7426" width="10.28515625" style="413" customWidth="1"/>
    <col min="7427" max="7433" width="10.7109375" style="413" customWidth="1"/>
    <col min="7434" max="7434" width="9.140625" style="413"/>
    <col min="7435" max="7435" width="11.28515625" style="413" bestFit="1" customWidth="1"/>
    <col min="7436" max="7436" width="9.7109375" style="413" bestFit="1" customWidth="1"/>
    <col min="7437" max="7679" width="9.140625" style="413"/>
    <col min="7680" max="7680" width="5.28515625" style="413" customWidth="1"/>
    <col min="7681" max="7681" width="56.42578125" style="413" customWidth="1"/>
    <col min="7682" max="7682" width="10.28515625" style="413" customWidth="1"/>
    <col min="7683" max="7689" width="10.7109375" style="413" customWidth="1"/>
    <col min="7690" max="7690" width="9.140625" style="413"/>
    <col min="7691" max="7691" width="11.28515625" style="413" bestFit="1" customWidth="1"/>
    <col min="7692" max="7692" width="9.7109375" style="413" bestFit="1" customWidth="1"/>
    <col min="7693" max="7935" width="9.140625" style="413"/>
    <col min="7936" max="7936" width="5.28515625" style="413" customWidth="1"/>
    <col min="7937" max="7937" width="56.42578125" style="413" customWidth="1"/>
    <col min="7938" max="7938" width="10.28515625" style="413" customWidth="1"/>
    <col min="7939" max="7945" width="10.7109375" style="413" customWidth="1"/>
    <col min="7946" max="7946" width="9.140625" style="413"/>
    <col min="7947" max="7947" width="11.28515625" style="413" bestFit="1" customWidth="1"/>
    <col min="7948" max="7948" width="9.7109375" style="413" bestFit="1" customWidth="1"/>
    <col min="7949" max="8191" width="9.140625" style="413"/>
    <col min="8192" max="8192" width="5.28515625" style="413" customWidth="1"/>
    <col min="8193" max="8193" width="56.42578125" style="413" customWidth="1"/>
    <col min="8194" max="8194" width="10.28515625" style="413" customWidth="1"/>
    <col min="8195" max="8201" width="10.7109375" style="413" customWidth="1"/>
    <col min="8202" max="8202" width="9.140625" style="413"/>
    <col min="8203" max="8203" width="11.28515625" style="413" bestFit="1" customWidth="1"/>
    <col min="8204" max="8204" width="9.7109375" style="413" bestFit="1" customWidth="1"/>
    <col min="8205" max="8447" width="9.140625" style="413"/>
    <col min="8448" max="8448" width="5.28515625" style="413" customWidth="1"/>
    <col min="8449" max="8449" width="56.42578125" style="413" customWidth="1"/>
    <col min="8450" max="8450" width="10.28515625" style="413" customWidth="1"/>
    <col min="8451" max="8457" width="10.7109375" style="413" customWidth="1"/>
    <col min="8458" max="8458" width="9.140625" style="413"/>
    <col min="8459" max="8459" width="11.28515625" style="413" bestFit="1" customWidth="1"/>
    <col min="8460" max="8460" width="9.7109375" style="413" bestFit="1" customWidth="1"/>
    <col min="8461" max="8703" width="9.140625" style="413"/>
    <col min="8704" max="8704" width="5.28515625" style="413" customWidth="1"/>
    <col min="8705" max="8705" width="56.42578125" style="413" customWidth="1"/>
    <col min="8706" max="8706" width="10.28515625" style="413" customWidth="1"/>
    <col min="8707" max="8713" width="10.7109375" style="413" customWidth="1"/>
    <col min="8714" max="8714" width="9.140625" style="413"/>
    <col min="8715" max="8715" width="11.28515625" style="413" bestFit="1" customWidth="1"/>
    <col min="8716" max="8716" width="9.7109375" style="413" bestFit="1" customWidth="1"/>
    <col min="8717" max="8959" width="9.140625" style="413"/>
    <col min="8960" max="8960" width="5.28515625" style="413" customWidth="1"/>
    <col min="8961" max="8961" width="56.42578125" style="413" customWidth="1"/>
    <col min="8962" max="8962" width="10.28515625" style="413" customWidth="1"/>
    <col min="8963" max="8969" width="10.7109375" style="413" customWidth="1"/>
    <col min="8970" max="8970" width="9.140625" style="413"/>
    <col min="8971" max="8971" width="11.28515625" style="413" bestFit="1" customWidth="1"/>
    <col min="8972" max="8972" width="9.7109375" style="413" bestFit="1" customWidth="1"/>
    <col min="8973" max="9215" width="9.140625" style="413"/>
    <col min="9216" max="9216" width="5.28515625" style="413" customWidth="1"/>
    <col min="9217" max="9217" width="56.42578125" style="413" customWidth="1"/>
    <col min="9218" max="9218" width="10.28515625" style="413" customWidth="1"/>
    <col min="9219" max="9225" width="10.7109375" style="413" customWidth="1"/>
    <col min="9226" max="9226" width="9.140625" style="413"/>
    <col min="9227" max="9227" width="11.28515625" style="413" bestFit="1" customWidth="1"/>
    <col min="9228" max="9228" width="9.7109375" style="413" bestFit="1" customWidth="1"/>
    <col min="9229" max="9471" width="9.140625" style="413"/>
    <col min="9472" max="9472" width="5.28515625" style="413" customWidth="1"/>
    <col min="9473" max="9473" width="56.42578125" style="413" customWidth="1"/>
    <col min="9474" max="9474" width="10.28515625" style="413" customWidth="1"/>
    <col min="9475" max="9481" width="10.7109375" style="413" customWidth="1"/>
    <col min="9482" max="9482" width="9.140625" style="413"/>
    <col min="9483" max="9483" width="11.28515625" style="413" bestFit="1" customWidth="1"/>
    <col min="9484" max="9484" width="9.7109375" style="413" bestFit="1" customWidth="1"/>
    <col min="9485" max="9727" width="9.140625" style="413"/>
    <col min="9728" max="9728" width="5.28515625" style="413" customWidth="1"/>
    <col min="9729" max="9729" width="56.42578125" style="413" customWidth="1"/>
    <col min="9730" max="9730" width="10.28515625" style="413" customWidth="1"/>
    <col min="9731" max="9737" width="10.7109375" style="413" customWidth="1"/>
    <col min="9738" max="9738" width="9.140625" style="413"/>
    <col min="9739" max="9739" width="11.28515625" style="413" bestFit="1" customWidth="1"/>
    <col min="9740" max="9740" width="9.7109375" style="413" bestFit="1" customWidth="1"/>
    <col min="9741" max="9983" width="9.140625" style="413"/>
    <col min="9984" max="9984" width="5.28515625" style="413" customWidth="1"/>
    <col min="9985" max="9985" width="56.42578125" style="413" customWidth="1"/>
    <col min="9986" max="9986" width="10.28515625" style="413" customWidth="1"/>
    <col min="9987" max="9993" width="10.7109375" style="413" customWidth="1"/>
    <col min="9994" max="9994" width="9.140625" style="413"/>
    <col min="9995" max="9995" width="11.28515625" style="413" bestFit="1" customWidth="1"/>
    <col min="9996" max="9996" width="9.7109375" style="413" bestFit="1" customWidth="1"/>
    <col min="9997" max="10239" width="9.140625" style="413"/>
    <col min="10240" max="10240" width="5.28515625" style="413" customWidth="1"/>
    <col min="10241" max="10241" width="56.42578125" style="413" customWidth="1"/>
    <col min="10242" max="10242" width="10.28515625" style="413" customWidth="1"/>
    <col min="10243" max="10249" width="10.7109375" style="413" customWidth="1"/>
    <col min="10250" max="10250" width="9.140625" style="413"/>
    <col min="10251" max="10251" width="11.28515625" style="413" bestFit="1" customWidth="1"/>
    <col min="10252" max="10252" width="9.7109375" style="413" bestFit="1" customWidth="1"/>
    <col min="10253" max="10495" width="9.140625" style="413"/>
    <col min="10496" max="10496" width="5.28515625" style="413" customWidth="1"/>
    <col min="10497" max="10497" width="56.42578125" style="413" customWidth="1"/>
    <col min="10498" max="10498" width="10.28515625" style="413" customWidth="1"/>
    <col min="10499" max="10505" width="10.7109375" style="413" customWidth="1"/>
    <col min="10506" max="10506" width="9.140625" style="413"/>
    <col min="10507" max="10507" width="11.28515625" style="413" bestFit="1" customWidth="1"/>
    <col min="10508" max="10508" width="9.7109375" style="413" bestFit="1" customWidth="1"/>
    <col min="10509" max="10751" width="9.140625" style="413"/>
    <col min="10752" max="10752" width="5.28515625" style="413" customWidth="1"/>
    <col min="10753" max="10753" width="56.42578125" style="413" customWidth="1"/>
    <col min="10754" max="10754" width="10.28515625" style="413" customWidth="1"/>
    <col min="10755" max="10761" width="10.7109375" style="413" customWidth="1"/>
    <col min="10762" max="10762" width="9.140625" style="413"/>
    <col min="10763" max="10763" width="11.28515625" style="413" bestFit="1" customWidth="1"/>
    <col min="10764" max="10764" width="9.7109375" style="413" bestFit="1" customWidth="1"/>
    <col min="10765" max="11007" width="9.140625" style="413"/>
    <col min="11008" max="11008" width="5.28515625" style="413" customWidth="1"/>
    <col min="11009" max="11009" width="56.42578125" style="413" customWidth="1"/>
    <col min="11010" max="11010" width="10.28515625" style="413" customWidth="1"/>
    <col min="11011" max="11017" width="10.7109375" style="413" customWidth="1"/>
    <col min="11018" max="11018" width="9.140625" style="413"/>
    <col min="11019" max="11019" width="11.28515625" style="413" bestFit="1" customWidth="1"/>
    <col min="11020" max="11020" width="9.7109375" style="413" bestFit="1" customWidth="1"/>
    <col min="11021" max="11263" width="9.140625" style="413"/>
    <col min="11264" max="11264" width="5.28515625" style="413" customWidth="1"/>
    <col min="11265" max="11265" width="56.42578125" style="413" customWidth="1"/>
    <col min="11266" max="11266" width="10.28515625" style="413" customWidth="1"/>
    <col min="11267" max="11273" width="10.7109375" style="413" customWidth="1"/>
    <col min="11274" max="11274" width="9.140625" style="413"/>
    <col min="11275" max="11275" width="11.28515625" style="413" bestFit="1" customWidth="1"/>
    <col min="11276" max="11276" width="9.7109375" style="413" bestFit="1" customWidth="1"/>
    <col min="11277" max="11519" width="9.140625" style="413"/>
    <col min="11520" max="11520" width="5.28515625" style="413" customWidth="1"/>
    <col min="11521" max="11521" width="56.42578125" style="413" customWidth="1"/>
    <col min="11522" max="11522" width="10.28515625" style="413" customWidth="1"/>
    <col min="11523" max="11529" width="10.7109375" style="413" customWidth="1"/>
    <col min="11530" max="11530" width="9.140625" style="413"/>
    <col min="11531" max="11531" width="11.28515625" style="413" bestFit="1" customWidth="1"/>
    <col min="11532" max="11532" width="9.7109375" style="413" bestFit="1" customWidth="1"/>
    <col min="11533" max="11775" width="9.140625" style="413"/>
    <col min="11776" max="11776" width="5.28515625" style="413" customWidth="1"/>
    <col min="11777" max="11777" width="56.42578125" style="413" customWidth="1"/>
    <col min="11778" max="11778" width="10.28515625" style="413" customWidth="1"/>
    <col min="11779" max="11785" width="10.7109375" style="413" customWidth="1"/>
    <col min="11786" max="11786" width="9.140625" style="413"/>
    <col min="11787" max="11787" width="11.28515625" style="413" bestFit="1" customWidth="1"/>
    <col min="11788" max="11788" width="9.7109375" style="413" bestFit="1" customWidth="1"/>
    <col min="11789" max="12031" width="9.140625" style="413"/>
    <col min="12032" max="12032" width="5.28515625" style="413" customWidth="1"/>
    <col min="12033" max="12033" width="56.42578125" style="413" customWidth="1"/>
    <col min="12034" max="12034" width="10.28515625" style="413" customWidth="1"/>
    <col min="12035" max="12041" width="10.7109375" style="413" customWidth="1"/>
    <col min="12042" max="12042" width="9.140625" style="413"/>
    <col min="12043" max="12043" width="11.28515625" style="413" bestFit="1" customWidth="1"/>
    <col min="12044" max="12044" width="9.7109375" style="413" bestFit="1" customWidth="1"/>
    <col min="12045" max="12287" width="9.140625" style="413"/>
    <col min="12288" max="12288" width="5.28515625" style="413" customWidth="1"/>
    <col min="12289" max="12289" width="56.42578125" style="413" customWidth="1"/>
    <col min="12290" max="12290" width="10.28515625" style="413" customWidth="1"/>
    <col min="12291" max="12297" width="10.7109375" style="413" customWidth="1"/>
    <col min="12298" max="12298" width="9.140625" style="413"/>
    <col min="12299" max="12299" width="11.28515625" style="413" bestFit="1" customWidth="1"/>
    <col min="12300" max="12300" width="9.7109375" style="413" bestFit="1" customWidth="1"/>
    <col min="12301" max="12543" width="9.140625" style="413"/>
    <col min="12544" max="12544" width="5.28515625" style="413" customWidth="1"/>
    <col min="12545" max="12545" width="56.42578125" style="413" customWidth="1"/>
    <col min="12546" max="12546" width="10.28515625" style="413" customWidth="1"/>
    <col min="12547" max="12553" width="10.7109375" style="413" customWidth="1"/>
    <col min="12554" max="12554" width="9.140625" style="413"/>
    <col min="12555" max="12555" width="11.28515625" style="413" bestFit="1" customWidth="1"/>
    <col min="12556" max="12556" width="9.7109375" style="413" bestFit="1" customWidth="1"/>
    <col min="12557" max="12799" width="9.140625" style="413"/>
    <col min="12800" max="12800" width="5.28515625" style="413" customWidth="1"/>
    <col min="12801" max="12801" width="56.42578125" style="413" customWidth="1"/>
    <col min="12802" max="12802" width="10.28515625" style="413" customWidth="1"/>
    <col min="12803" max="12809" width="10.7109375" style="413" customWidth="1"/>
    <col min="12810" max="12810" width="9.140625" style="413"/>
    <col min="12811" max="12811" width="11.28515625" style="413" bestFit="1" customWidth="1"/>
    <col min="12812" max="12812" width="9.7109375" style="413" bestFit="1" customWidth="1"/>
    <col min="12813" max="13055" width="9.140625" style="413"/>
    <col min="13056" max="13056" width="5.28515625" style="413" customWidth="1"/>
    <col min="13057" max="13057" width="56.42578125" style="413" customWidth="1"/>
    <col min="13058" max="13058" width="10.28515625" style="413" customWidth="1"/>
    <col min="13059" max="13065" width="10.7109375" style="413" customWidth="1"/>
    <col min="13066" max="13066" width="9.140625" style="413"/>
    <col min="13067" max="13067" width="11.28515625" style="413" bestFit="1" customWidth="1"/>
    <col min="13068" max="13068" width="9.7109375" style="413" bestFit="1" customWidth="1"/>
    <col min="13069" max="13311" width="9.140625" style="413"/>
    <col min="13312" max="13312" width="5.28515625" style="413" customWidth="1"/>
    <col min="13313" max="13313" width="56.42578125" style="413" customWidth="1"/>
    <col min="13314" max="13314" width="10.28515625" style="413" customWidth="1"/>
    <col min="13315" max="13321" width="10.7109375" style="413" customWidth="1"/>
    <col min="13322" max="13322" width="9.140625" style="413"/>
    <col min="13323" max="13323" width="11.28515625" style="413" bestFit="1" customWidth="1"/>
    <col min="13324" max="13324" width="9.7109375" style="413" bestFit="1" customWidth="1"/>
    <col min="13325" max="13567" width="9.140625" style="413"/>
    <col min="13568" max="13568" width="5.28515625" style="413" customWidth="1"/>
    <col min="13569" max="13569" width="56.42578125" style="413" customWidth="1"/>
    <col min="13570" max="13570" width="10.28515625" style="413" customWidth="1"/>
    <col min="13571" max="13577" width="10.7109375" style="413" customWidth="1"/>
    <col min="13578" max="13578" width="9.140625" style="413"/>
    <col min="13579" max="13579" width="11.28515625" style="413" bestFit="1" customWidth="1"/>
    <col min="13580" max="13580" width="9.7109375" style="413" bestFit="1" customWidth="1"/>
    <col min="13581" max="13823" width="9.140625" style="413"/>
    <col min="13824" max="13824" width="5.28515625" style="413" customWidth="1"/>
    <col min="13825" max="13825" width="56.42578125" style="413" customWidth="1"/>
    <col min="13826" max="13826" width="10.28515625" style="413" customWidth="1"/>
    <col min="13827" max="13833" width="10.7109375" style="413" customWidth="1"/>
    <col min="13834" max="13834" width="9.140625" style="413"/>
    <col min="13835" max="13835" width="11.28515625" style="413" bestFit="1" customWidth="1"/>
    <col min="13836" max="13836" width="9.7109375" style="413" bestFit="1" customWidth="1"/>
    <col min="13837" max="14079" width="9.140625" style="413"/>
    <col min="14080" max="14080" width="5.28515625" style="413" customWidth="1"/>
    <col min="14081" max="14081" width="56.42578125" style="413" customWidth="1"/>
    <col min="14082" max="14082" width="10.28515625" style="413" customWidth="1"/>
    <col min="14083" max="14089" width="10.7109375" style="413" customWidth="1"/>
    <col min="14090" max="14090" width="9.140625" style="413"/>
    <col min="14091" max="14091" width="11.28515625" style="413" bestFit="1" customWidth="1"/>
    <col min="14092" max="14092" width="9.7109375" style="413" bestFit="1" customWidth="1"/>
    <col min="14093" max="14335" width="9.140625" style="413"/>
    <col min="14336" max="14336" width="5.28515625" style="413" customWidth="1"/>
    <col min="14337" max="14337" width="56.42578125" style="413" customWidth="1"/>
    <col min="14338" max="14338" width="10.28515625" style="413" customWidth="1"/>
    <col min="14339" max="14345" width="10.7109375" style="413" customWidth="1"/>
    <col min="14346" max="14346" width="9.140625" style="413"/>
    <col min="14347" max="14347" width="11.28515625" style="413" bestFit="1" customWidth="1"/>
    <col min="14348" max="14348" width="9.7109375" style="413" bestFit="1" customWidth="1"/>
    <col min="14349" max="14591" width="9.140625" style="413"/>
    <col min="14592" max="14592" width="5.28515625" style="413" customWidth="1"/>
    <col min="14593" max="14593" width="56.42578125" style="413" customWidth="1"/>
    <col min="14594" max="14594" width="10.28515625" style="413" customWidth="1"/>
    <col min="14595" max="14601" width="10.7109375" style="413" customWidth="1"/>
    <col min="14602" max="14602" width="9.140625" style="413"/>
    <col min="14603" max="14603" width="11.28515625" style="413" bestFit="1" customWidth="1"/>
    <col min="14604" max="14604" width="9.7109375" style="413" bestFit="1" customWidth="1"/>
    <col min="14605" max="14847" width="9.140625" style="413"/>
    <col min="14848" max="14848" width="5.28515625" style="413" customWidth="1"/>
    <col min="14849" max="14849" width="56.42578125" style="413" customWidth="1"/>
    <col min="14850" max="14850" width="10.28515625" style="413" customWidth="1"/>
    <col min="14851" max="14857" width="10.7109375" style="413" customWidth="1"/>
    <col min="14858" max="14858" width="9.140625" style="413"/>
    <col min="14859" max="14859" width="11.28515625" style="413" bestFit="1" customWidth="1"/>
    <col min="14860" max="14860" width="9.7109375" style="413" bestFit="1" customWidth="1"/>
    <col min="14861" max="15103" width="9.140625" style="413"/>
    <col min="15104" max="15104" width="5.28515625" style="413" customWidth="1"/>
    <col min="15105" max="15105" width="56.42578125" style="413" customWidth="1"/>
    <col min="15106" max="15106" width="10.28515625" style="413" customWidth="1"/>
    <col min="15107" max="15113" width="10.7109375" style="413" customWidth="1"/>
    <col min="15114" max="15114" width="9.140625" style="413"/>
    <col min="15115" max="15115" width="11.28515625" style="413" bestFit="1" customWidth="1"/>
    <col min="15116" max="15116" width="9.7109375" style="413" bestFit="1" customWidth="1"/>
    <col min="15117" max="15359" width="9.140625" style="413"/>
    <col min="15360" max="15360" width="5.28515625" style="413" customWidth="1"/>
    <col min="15361" max="15361" width="56.42578125" style="413" customWidth="1"/>
    <col min="15362" max="15362" width="10.28515625" style="413" customWidth="1"/>
    <col min="15363" max="15369" width="10.7109375" style="413" customWidth="1"/>
    <col min="15370" max="15370" width="9.140625" style="413"/>
    <col min="15371" max="15371" width="11.28515625" style="413" bestFit="1" customWidth="1"/>
    <col min="15372" max="15372" width="9.7109375" style="413" bestFit="1" customWidth="1"/>
    <col min="15373" max="15615" width="9.140625" style="413"/>
    <col min="15616" max="15616" width="5.28515625" style="413" customWidth="1"/>
    <col min="15617" max="15617" width="56.42578125" style="413" customWidth="1"/>
    <col min="15618" max="15618" width="10.28515625" style="413" customWidth="1"/>
    <col min="15619" max="15625" width="10.7109375" style="413" customWidth="1"/>
    <col min="15626" max="15626" width="9.140625" style="413"/>
    <col min="15627" max="15627" width="11.28515625" style="413" bestFit="1" customWidth="1"/>
    <col min="15628" max="15628" width="9.7109375" style="413" bestFit="1" customWidth="1"/>
    <col min="15629" max="15871" width="9.140625" style="413"/>
    <col min="15872" max="15872" width="5.28515625" style="413" customWidth="1"/>
    <col min="15873" max="15873" width="56.42578125" style="413" customWidth="1"/>
    <col min="15874" max="15874" width="10.28515625" style="413" customWidth="1"/>
    <col min="15875" max="15881" width="10.7109375" style="413" customWidth="1"/>
    <col min="15882" max="15882" width="9.140625" style="413"/>
    <col min="15883" max="15883" width="11.28515625" style="413" bestFit="1" customWidth="1"/>
    <col min="15884" max="15884" width="9.7109375" style="413" bestFit="1" customWidth="1"/>
    <col min="15885" max="16127" width="9.140625" style="413"/>
    <col min="16128" max="16128" width="5.28515625" style="413" customWidth="1"/>
    <col min="16129" max="16129" width="56.42578125" style="413" customWidth="1"/>
    <col min="16130" max="16130" width="10.28515625" style="413" customWidth="1"/>
    <col min="16131" max="16137" width="10.7109375" style="413" customWidth="1"/>
    <col min="16138" max="16138" width="9.140625" style="413"/>
    <col min="16139" max="16139" width="11.28515625" style="413" bestFit="1" customWidth="1"/>
    <col min="16140" max="16140" width="9.7109375" style="413" bestFit="1" customWidth="1"/>
    <col min="16141" max="16384" width="9.140625" style="413"/>
  </cols>
  <sheetData>
    <row r="1" spans="1:12" ht="13.5" customHeight="1">
      <c r="B1" s="412"/>
      <c r="C1" s="412"/>
      <c r="D1" s="412"/>
      <c r="E1" s="412"/>
      <c r="F1" s="412"/>
      <c r="G1" s="412"/>
      <c r="H1" s="412"/>
      <c r="I1" s="412"/>
      <c r="J1" s="414" t="s">
        <v>0</v>
      </c>
    </row>
    <row r="2" spans="1:12" s="415" customFormat="1" ht="27.75" customHeight="1">
      <c r="A2" s="3410" t="s">
        <v>1407</v>
      </c>
      <c r="B2" s="3410"/>
      <c r="C2" s="3410"/>
      <c r="D2" s="3410"/>
      <c r="E2" s="3410"/>
      <c r="F2" s="3410"/>
      <c r="G2" s="3410"/>
      <c r="H2" s="3410"/>
      <c r="I2" s="3410"/>
      <c r="J2" s="3410"/>
    </row>
    <row r="3" spans="1:12" s="415" customFormat="1" ht="12.75" customHeight="1">
      <c r="A3" s="3410"/>
      <c r="B3" s="3410"/>
      <c r="C3" s="3410"/>
      <c r="D3" s="3410"/>
      <c r="E3" s="3410"/>
      <c r="F3" s="3410"/>
      <c r="G3" s="3410"/>
      <c r="H3" s="3410"/>
      <c r="I3" s="3410"/>
      <c r="J3" s="3410"/>
    </row>
    <row r="4" spans="1:12" s="415" customFormat="1" ht="12.75" customHeight="1">
      <c r="A4" s="416"/>
      <c r="B4" s="416"/>
      <c r="C4" s="416"/>
      <c r="D4" s="416"/>
      <c r="E4" s="416"/>
      <c r="F4" s="416"/>
      <c r="G4" s="416"/>
      <c r="H4" s="416"/>
      <c r="I4" s="416"/>
      <c r="J4" s="416"/>
    </row>
    <row r="5" spans="1:12" ht="15.75" customHeight="1">
      <c r="A5" s="3411" t="str">
        <f>'1. Анкетна карта'!A3:J3</f>
        <v>на "Водоснабдяване и канализация" ЕООД , гр. Благоевград</v>
      </c>
      <c r="B5" s="3411"/>
      <c r="C5" s="3411"/>
      <c r="D5" s="3411"/>
      <c r="E5" s="3411"/>
      <c r="F5" s="3411"/>
      <c r="G5" s="3411"/>
      <c r="H5" s="3411"/>
      <c r="I5" s="3411"/>
      <c r="J5" s="3411"/>
    </row>
    <row r="6" spans="1:12" ht="15.75" customHeight="1">
      <c r="A6" s="3411" t="str">
        <f>'1. Анкетна карта'!A4:J4</f>
        <v>ЕИК по БУЛСТАТ: 811047831</v>
      </c>
      <c r="B6" s="3411"/>
      <c r="C6" s="3411"/>
      <c r="D6" s="3411"/>
      <c r="E6" s="3411"/>
      <c r="F6" s="3411"/>
      <c r="G6" s="3411"/>
      <c r="H6" s="3411"/>
      <c r="I6" s="3411"/>
      <c r="J6" s="3411"/>
      <c r="K6" s="422"/>
    </row>
    <row r="7" spans="1:12" ht="13.5" thickBot="1">
      <c r="A7" s="413"/>
    </row>
    <row r="8" spans="1:12" s="415" customFormat="1" ht="54" customHeight="1" thickBot="1">
      <c r="A8" s="1527" t="s">
        <v>1</v>
      </c>
      <c r="B8" s="2768" t="s">
        <v>95</v>
      </c>
      <c r="C8" s="2769" t="s">
        <v>222</v>
      </c>
      <c r="D8" s="1528" t="str">
        <f>'Приложение '!$G12</f>
        <v>2015 г.</v>
      </c>
      <c r="E8" s="1528" t="str">
        <f>'Приложение '!$G13</f>
        <v>2016 г.</v>
      </c>
      <c r="F8" s="1528" t="str">
        <f>'Приложение '!$G14</f>
        <v>2017 г.</v>
      </c>
      <c r="G8" s="1528" t="str">
        <f>'Приложение '!$G15</f>
        <v>2018 г.</v>
      </c>
      <c r="H8" s="1528" t="str">
        <f>'Приложение '!$G16</f>
        <v>2019 г.</v>
      </c>
      <c r="I8" s="1528" t="str">
        <f>'Приложение '!$G17</f>
        <v>2020 г.</v>
      </c>
      <c r="J8" s="1529" t="str">
        <f>'Приложение '!$G18</f>
        <v>2021 г.</v>
      </c>
      <c r="K8" s="735"/>
      <c r="L8" s="417"/>
    </row>
    <row r="9" spans="1:12" ht="21" customHeight="1" thickBot="1">
      <c r="A9" s="1519" t="s">
        <v>223</v>
      </c>
      <c r="B9" s="2770" t="s">
        <v>224</v>
      </c>
      <c r="C9" s="2771"/>
      <c r="D9" s="1524"/>
      <c r="E9" s="1524"/>
      <c r="F9" s="1524"/>
      <c r="G9" s="1524"/>
      <c r="H9" s="1524"/>
      <c r="I9" s="1524"/>
      <c r="J9" s="1525"/>
      <c r="K9" s="422"/>
    </row>
    <row r="10" spans="1:12" s="418" customFormat="1" ht="15.75">
      <c r="A10" s="1520" t="s">
        <v>268</v>
      </c>
      <c r="B10" s="1523" t="s">
        <v>772</v>
      </c>
      <c r="C10" s="2772" t="s">
        <v>1052</v>
      </c>
      <c r="D10" s="1873">
        <f>D11+D12+D13+D14-D15-D16-D17-D18</f>
        <v>29273588</v>
      </c>
      <c r="E10" s="1873">
        <f t="shared" ref="E10:J10" si="0">E11+E12+E13+E14-E15-E16-E17-E18</f>
        <v>28149194</v>
      </c>
      <c r="F10" s="1873">
        <f t="shared" si="0"/>
        <v>27308379</v>
      </c>
      <c r="G10" s="1873">
        <f t="shared" si="0"/>
        <v>26099749</v>
      </c>
      <c r="H10" s="1873">
        <f t="shared" si="0"/>
        <v>26278046</v>
      </c>
      <c r="I10" s="1873">
        <f t="shared" si="0"/>
        <v>31127240</v>
      </c>
      <c r="J10" s="1874">
        <f t="shared" si="0"/>
        <v>30343625</v>
      </c>
      <c r="K10" s="440"/>
    </row>
    <row r="11" spans="1:12" s="418" customFormat="1" ht="15.75">
      <c r="A11" s="1521" t="s">
        <v>98</v>
      </c>
      <c r="B11" s="2773" t="s">
        <v>1181</v>
      </c>
      <c r="C11" s="2774" t="s">
        <v>1052</v>
      </c>
      <c r="D11" s="1875">
        <v>23955273</v>
      </c>
      <c r="E11" s="1875">
        <v>22839194</v>
      </c>
      <c r="F11" s="1875">
        <v>22098379</v>
      </c>
      <c r="G11" s="1875">
        <v>20889749</v>
      </c>
      <c r="H11" s="1875">
        <v>20828046</v>
      </c>
      <c r="I11" s="1875">
        <v>21597240</v>
      </c>
      <c r="J11" s="1876">
        <v>20913625</v>
      </c>
      <c r="K11" s="440"/>
    </row>
    <row r="12" spans="1:12" s="418" customFormat="1" ht="15.75">
      <c r="A12" s="1521" t="s">
        <v>99</v>
      </c>
      <c r="B12" s="2773" t="s">
        <v>1182</v>
      </c>
      <c r="C12" s="2774" t="s">
        <v>1052</v>
      </c>
      <c r="D12" s="1875">
        <v>4953315</v>
      </c>
      <c r="E12" s="1875">
        <v>4900000</v>
      </c>
      <c r="F12" s="1875">
        <v>4800000</v>
      </c>
      <c r="G12" s="1875">
        <v>4800000</v>
      </c>
      <c r="H12" s="1875">
        <v>4800000</v>
      </c>
      <c r="I12" s="1875">
        <v>7200000</v>
      </c>
      <c r="J12" s="1876">
        <v>7170000</v>
      </c>
      <c r="K12" s="733"/>
    </row>
    <row r="13" spans="1:12" s="418" customFormat="1" ht="15.75">
      <c r="A13" s="1521" t="s">
        <v>101</v>
      </c>
      <c r="B13" s="2773" t="s">
        <v>1183</v>
      </c>
      <c r="C13" s="2774" t="s">
        <v>1052</v>
      </c>
      <c r="D13" s="1875">
        <v>365000</v>
      </c>
      <c r="E13" s="1877">
        <v>410000</v>
      </c>
      <c r="F13" s="1877">
        <v>410000</v>
      </c>
      <c r="G13" s="1877">
        <v>410000</v>
      </c>
      <c r="H13" s="1877">
        <v>650000</v>
      </c>
      <c r="I13" s="1877">
        <v>2330000</v>
      </c>
      <c r="J13" s="1878">
        <v>2260000</v>
      </c>
      <c r="K13" s="419"/>
    </row>
    <row r="14" spans="1:12" s="418" customFormat="1" ht="15.75">
      <c r="A14" s="1521" t="s">
        <v>197</v>
      </c>
      <c r="B14" s="2773" t="s">
        <v>1184</v>
      </c>
      <c r="C14" s="2774" t="s">
        <v>1052</v>
      </c>
      <c r="D14" s="1875"/>
      <c r="E14" s="1877"/>
      <c r="F14" s="1877"/>
      <c r="G14" s="1877"/>
      <c r="H14" s="1877"/>
      <c r="I14" s="1877"/>
      <c r="J14" s="1878"/>
      <c r="K14" s="419"/>
    </row>
    <row r="15" spans="1:12" s="418" customFormat="1" ht="15.75">
      <c r="A15" s="1521" t="s">
        <v>199</v>
      </c>
      <c r="B15" s="2773" t="s">
        <v>1379</v>
      </c>
      <c r="C15" s="2774" t="s">
        <v>1052</v>
      </c>
      <c r="D15" s="1875"/>
      <c r="E15" s="1877"/>
      <c r="F15" s="1877"/>
      <c r="G15" s="1877"/>
      <c r="H15" s="1877"/>
      <c r="I15" s="1877"/>
      <c r="J15" s="1878"/>
      <c r="K15" s="419"/>
    </row>
    <row r="16" spans="1:12" s="418" customFormat="1" ht="15.75">
      <c r="A16" s="1521" t="s">
        <v>201</v>
      </c>
      <c r="B16" s="2773" t="s">
        <v>1480</v>
      </c>
      <c r="C16" s="2774" t="s">
        <v>1052</v>
      </c>
      <c r="D16" s="1875"/>
      <c r="E16" s="1877"/>
      <c r="F16" s="1877"/>
      <c r="G16" s="1877"/>
      <c r="H16" s="1877"/>
      <c r="I16" s="1877"/>
      <c r="J16" s="1878"/>
      <c r="K16" s="419"/>
    </row>
    <row r="17" spans="1:12" s="418" customFormat="1" ht="15.75">
      <c r="A17" s="1521" t="s">
        <v>203</v>
      </c>
      <c r="B17" s="2773" t="s">
        <v>1380</v>
      </c>
      <c r="C17" s="2774" t="s">
        <v>1052</v>
      </c>
      <c r="D17" s="1875"/>
      <c r="E17" s="1877"/>
      <c r="F17" s="1877"/>
      <c r="G17" s="1877"/>
      <c r="H17" s="1877"/>
      <c r="I17" s="1877"/>
      <c r="J17" s="1878"/>
      <c r="K17" s="419"/>
    </row>
    <row r="18" spans="1:12" s="418" customFormat="1" ht="18" customHeight="1" thickBot="1">
      <c r="A18" s="1522" t="s">
        <v>205</v>
      </c>
      <c r="B18" s="2773" t="s">
        <v>1481</v>
      </c>
      <c r="C18" s="2774" t="s">
        <v>1052</v>
      </c>
      <c r="D18" s="1879"/>
      <c r="E18" s="1880"/>
      <c r="F18" s="1880"/>
      <c r="G18" s="1880"/>
      <c r="H18" s="1880"/>
      <c r="I18" s="1880"/>
      <c r="J18" s="1881"/>
      <c r="K18" s="419"/>
    </row>
    <row r="19" spans="1:12" s="418" customFormat="1" ht="15" customHeight="1">
      <c r="A19" s="3396" t="s">
        <v>103</v>
      </c>
      <c r="B19" s="3413" t="s">
        <v>773</v>
      </c>
      <c r="C19" s="2775" t="s">
        <v>1052</v>
      </c>
      <c r="D19" s="1882">
        <f>D21+D31</f>
        <v>11106129</v>
      </c>
      <c r="E19" s="1883">
        <f t="shared" ref="E19:J19" si="1">E21+E31</f>
        <v>10991061</v>
      </c>
      <c r="F19" s="1883">
        <f t="shared" si="1"/>
        <v>11085293</v>
      </c>
      <c r="G19" s="1883">
        <f t="shared" si="1"/>
        <v>11107899</v>
      </c>
      <c r="H19" s="1883">
        <f t="shared" si="1"/>
        <v>11293999</v>
      </c>
      <c r="I19" s="1883">
        <f t="shared" si="1"/>
        <v>13711577</v>
      </c>
      <c r="J19" s="1884">
        <f t="shared" si="1"/>
        <v>13622871</v>
      </c>
      <c r="K19" s="419"/>
      <c r="L19" s="440"/>
    </row>
    <row r="20" spans="1:12" s="418" customFormat="1" ht="15" customHeight="1" thickBot="1">
      <c r="A20" s="3412"/>
      <c r="B20" s="3414"/>
      <c r="C20" s="2776" t="s">
        <v>226</v>
      </c>
      <c r="D20" s="1885">
        <f>D19/D10</f>
        <v>0.37939076685782419</v>
      </c>
      <c r="E20" s="1886">
        <f t="shared" ref="E20:J20" si="2">E19/E10</f>
        <v>0.39045739640005322</v>
      </c>
      <c r="F20" s="1886">
        <f t="shared" si="2"/>
        <v>0.40593009932958674</v>
      </c>
      <c r="G20" s="1886">
        <f t="shared" si="2"/>
        <v>0.42559409287805794</v>
      </c>
      <c r="H20" s="1886">
        <f t="shared" si="2"/>
        <v>0.4297883868534213</v>
      </c>
      <c r="I20" s="1886">
        <f t="shared" si="2"/>
        <v>0.44050089246589164</v>
      </c>
      <c r="J20" s="1887">
        <f t="shared" si="2"/>
        <v>0.44895331391684412</v>
      </c>
      <c r="K20" s="419"/>
    </row>
    <row r="21" spans="1:12" s="418" customFormat="1" ht="15" customHeight="1">
      <c r="A21" s="3393" t="s">
        <v>105</v>
      </c>
      <c r="B21" s="3415" t="s">
        <v>774</v>
      </c>
      <c r="C21" s="2777" t="s">
        <v>1052</v>
      </c>
      <c r="D21" s="1888">
        <f>D23+D27</f>
        <v>10563162</v>
      </c>
      <c r="E21" s="1889">
        <f t="shared" ref="E21:J21" si="3">E23+E27</f>
        <v>10448161</v>
      </c>
      <c r="F21" s="1889">
        <f t="shared" si="3"/>
        <v>10555293</v>
      </c>
      <c r="G21" s="1889">
        <f t="shared" si="3"/>
        <v>10587899</v>
      </c>
      <c r="H21" s="1889">
        <f t="shared" si="3"/>
        <v>10773999</v>
      </c>
      <c r="I21" s="1889">
        <f t="shared" si="3"/>
        <v>13156577</v>
      </c>
      <c r="J21" s="1890">
        <f t="shared" si="3"/>
        <v>13092871</v>
      </c>
      <c r="K21" s="419"/>
    </row>
    <row r="22" spans="1:12" s="418" customFormat="1" ht="15" customHeight="1">
      <c r="A22" s="3394"/>
      <c r="B22" s="3416"/>
      <c r="C22" s="2774" t="s">
        <v>226</v>
      </c>
      <c r="D22" s="1891">
        <f>D21/D10</f>
        <v>0.36084275012683786</v>
      </c>
      <c r="E22" s="1892">
        <f t="shared" ref="E22:J22" si="4">E21/E10</f>
        <v>0.3711708761536831</v>
      </c>
      <c r="F22" s="1892">
        <f t="shared" si="4"/>
        <v>0.38652213666728441</v>
      </c>
      <c r="G22" s="1892">
        <f t="shared" si="4"/>
        <v>0.405670529628465</v>
      </c>
      <c r="H22" s="1892">
        <f t="shared" si="4"/>
        <v>0.41000000532764119</v>
      </c>
      <c r="I22" s="1892">
        <f t="shared" si="4"/>
        <v>0.42267085035486601</v>
      </c>
      <c r="J22" s="1893">
        <f t="shared" si="4"/>
        <v>0.43148671261261634</v>
      </c>
      <c r="K22" s="419"/>
    </row>
    <row r="23" spans="1:12" s="418" customFormat="1" ht="15" customHeight="1">
      <c r="A23" s="737" t="s">
        <v>775</v>
      </c>
      <c r="B23" s="2778" t="s">
        <v>776</v>
      </c>
      <c r="C23" s="2774" t="s">
        <v>1052</v>
      </c>
      <c r="D23" s="1894">
        <f>SUM(D24:D26)</f>
        <v>10563162</v>
      </c>
      <c r="E23" s="1895">
        <f t="shared" ref="E23:J23" si="5">SUM(E24:E26)</f>
        <v>10448161</v>
      </c>
      <c r="F23" s="1895">
        <f t="shared" si="5"/>
        <v>10555293</v>
      </c>
      <c r="G23" s="1895">
        <f t="shared" si="5"/>
        <v>10587899</v>
      </c>
      <c r="H23" s="1895">
        <f t="shared" si="5"/>
        <v>10773999</v>
      </c>
      <c r="I23" s="1895">
        <f t="shared" si="5"/>
        <v>13156577</v>
      </c>
      <c r="J23" s="1896">
        <f t="shared" si="5"/>
        <v>13092871</v>
      </c>
      <c r="K23" s="419"/>
    </row>
    <row r="24" spans="1:12" s="418" customFormat="1" ht="15" customHeight="1">
      <c r="A24" s="738" t="s">
        <v>777</v>
      </c>
      <c r="B24" s="752" t="s">
        <v>778</v>
      </c>
      <c r="C24" s="2774" t="s">
        <v>1052</v>
      </c>
      <c r="D24" s="1875">
        <v>7590164</v>
      </c>
      <c r="E24" s="1875">
        <v>7485826</v>
      </c>
      <c r="F24" s="1875">
        <v>7585627</v>
      </c>
      <c r="G24" s="1875">
        <f>7508233+110000</f>
        <v>7618233</v>
      </c>
      <c r="H24" s="1875">
        <v>7803833</v>
      </c>
      <c r="I24" s="1875">
        <f>10005850+10000</f>
        <v>10015850</v>
      </c>
      <c r="J24" s="1876">
        <f>9930144+20000</f>
        <v>9950144</v>
      </c>
      <c r="K24" s="419"/>
    </row>
    <row r="25" spans="1:12" s="418" customFormat="1" ht="15" customHeight="1">
      <c r="A25" s="738" t="s">
        <v>779</v>
      </c>
      <c r="B25" s="2779" t="s">
        <v>780</v>
      </c>
      <c r="C25" s="2774" t="s">
        <v>1052</v>
      </c>
      <c r="D25" s="1875">
        <v>2208677</v>
      </c>
      <c r="E25" s="1875">
        <v>2200912</v>
      </c>
      <c r="F25" s="1875">
        <v>2206810</v>
      </c>
      <c r="G25" s="1875">
        <v>2206810</v>
      </c>
      <c r="H25" s="1875">
        <v>2207310</v>
      </c>
      <c r="I25" s="1875">
        <v>2208310</v>
      </c>
      <c r="J25" s="1876">
        <v>2210310</v>
      </c>
      <c r="K25" s="419"/>
    </row>
    <row r="26" spans="1:12" s="418" customFormat="1" ht="15" customHeight="1">
      <c r="A26" s="738" t="s">
        <v>781</v>
      </c>
      <c r="B26" s="752" t="s">
        <v>782</v>
      </c>
      <c r="C26" s="2774" t="s">
        <v>1052</v>
      </c>
      <c r="D26" s="1875">
        <v>764321</v>
      </c>
      <c r="E26" s="1875">
        <v>761423</v>
      </c>
      <c r="F26" s="1875">
        <v>762856</v>
      </c>
      <c r="G26" s="1875">
        <v>762856</v>
      </c>
      <c r="H26" s="1875">
        <v>762856</v>
      </c>
      <c r="I26" s="1875">
        <v>932417</v>
      </c>
      <c r="J26" s="1876">
        <v>932417</v>
      </c>
      <c r="K26" s="419"/>
    </row>
    <row r="27" spans="1:12" s="418" customFormat="1" ht="15" customHeight="1">
      <c r="A27" s="737" t="s">
        <v>783</v>
      </c>
      <c r="B27" s="2778" t="s">
        <v>784</v>
      </c>
      <c r="C27" s="2774" t="s">
        <v>1052</v>
      </c>
      <c r="D27" s="1894">
        <f>SUM(D28:D30)</f>
        <v>0</v>
      </c>
      <c r="E27" s="1895">
        <f t="shared" ref="E27:J27" si="6">SUM(E28:E30)</f>
        <v>0</v>
      </c>
      <c r="F27" s="1895">
        <f t="shared" si="6"/>
        <v>0</v>
      </c>
      <c r="G27" s="1895">
        <f t="shared" si="6"/>
        <v>0</v>
      </c>
      <c r="H27" s="1895">
        <f t="shared" si="6"/>
        <v>0</v>
      </c>
      <c r="I27" s="1895">
        <f t="shared" si="6"/>
        <v>0</v>
      </c>
      <c r="J27" s="1896">
        <f t="shared" si="6"/>
        <v>0</v>
      </c>
      <c r="K27" s="419"/>
    </row>
    <row r="28" spans="1:12" s="418" customFormat="1" ht="15" customHeight="1">
      <c r="A28" s="738" t="s">
        <v>785</v>
      </c>
      <c r="B28" s="752" t="s">
        <v>778</v>
      </c>
      <c r="C28" s="2774" t="s">
        <v>1052</v>
      </c>
      <c r="D28" s="1875"/>
      <c r="E28" s="1877"/>
      <c r="F28" s="1877"/>
      <c r="G28" s="1877"/>
      <c r="H28" s="1877"/>
      <c r="I28" s="1877"/>
      <c r="J28" s="1878"/>
      <c r="K28" s="419"/>
    </row>
    <row r="29" spans="1:12" s="418" customFormat="1" ht="15" customHeight="1">
      <c r="A29" s="738" t="s">
        <v>786</v>
      </c>
      <c r="B29" s="2779" t="s">
        <v>780</v>
      </c>
      <c r="C29" s="2774" t="s">
        <v>1052</v>
      </c>
      <c r="D29" s="1875"/>
      <c r="E29" s="1877"/>
      <c r="F29" s="1877"/>
      <c r="G29" s="1877"/>
      <c r="H29" s="1877"/>
      <c r="I29" s="1877"/>
      <c r="J29" s="1878"/>
      <c r="K29" s="419"/>
    </row>
    <row r="30" spans="1:12" s="418" customFormat="1" ht="15" customHeight="1" thickBot="1">
      <c r="A30" s="739" t="s">
        <v>787</v>
      </c>
      <c r="B30" s="753" t="s">
        <v>782</v>
      </c>
      <c r="C30" s="2780" t="s">
        <v>1052</v>
      </c>
      <c r="D30" s="1879"/>
      <c r="E30" s="1880"/>
      <c r="F30" s="1880"/>
      <c r="G30" s="1880"/>
      <c r="H30" s="1880"/>
      <c r="I30" s="1880"/>
      <c r="J30" s="1881"/>
      <c r="K30" s="419"/>
    </row>
    <row r="31" spans="1:12" s="418" customFormat="1" ht="15" customHeight="1">
      <c r="A31" s="3417" t="s">
        <v>107</v>
      </c>
      <c r="B31" s="3419" t="s">
        <v>922</v>
      </c>
      <c r="C31" s="2781" t="s">
        <v>1052</v>
      </c>
      <c r="D31" s="1897">
        <f>D33+D34</f>
        <v>542967</v>
      </c>
      <c r="E31" s="1898">
        <f t="shared" ref="E31:J31" si="7">E33+E34</f>
        <v>542900</v>
      </c>
      <c r="F31" s="1898">
        <f t="shared" si="7"/>
        <v>530000</v>
      </c>
      <c r="G31" s="1898">
        <f t="shared" si="7"/>
        <v>520000</v>
      </c>
      <c r="H31" s="1898">
        <f t="shared" si="7"/>
        <v>520000</v>
      </c>
      <c r="I31" s="1898">
        <f t="shared" si="7"/>
        <v>555000</v>
      </c>
      <c r="J31" s="1899">
        <f t="shared" si="7"/>
        <v>530000</v>
      </c>
      <c r="K31" s="419"/>
    </row>
    <row r="32" spans="1:12" s="418" customFormat="1">
      <c r="A32" s="3418"/>
      <c r="B32" s="3416"/>
      <c r="C32" s="2774" t="s">
        <v>226</v>
      </c>
      <c r="D32" s="1900">
        <f>D31/D10</f>
        <v>1.8548016730986307E-2</v>
      </c>
      <c r="E32" s="1901">
        <f t="shared" ref="E32:J32" si="8">E31/E10</f>
        <v>1.928652024637011E-2</v>
      </c>
      <c r="F32" s="1901">
        <f t="shared" si="8"/>
        <v>1.940796266230229E-2</v>
      </c>
      <c r="G32" s="1901">
        <f t="shared" si="8"/>
        <v>1.9923563249592938E-2</v>
      </c>
      <c r="H32" s="1901">
        <f t="shared" si="8"/>
        <v>1.9788381525780115E-2</v>
      </c>
      <c r="I32" s="1901">
        <f t="shared" si="8"/>
        <v>1.7830042111025585E-2</v>
      </c>
      <c r="J32" s="1902">
        <f t="shared" si="8"/>
        <v>1.7466601304227825E-2</v>
      </c>
      <c r="K32" s="419"/>
    </row>
    <row r="33" spans="1:13" s="418" customFormat="1" ht="15.75">
      <c r="A33" s="2541" t="s">
        <v>212</v>
      </c>
      <c r="B33" s="2540" t="s">
        <v>788</v>
      </c>
      <c r="C33" s="2774" t="s">
        <v>1052</v>
      </c>
      <c r="D33" s="1875">
        <v>150000</v>
      </c>
      <c r="E33" s="1875">
        <v>150000</v>
      </c>
      <c r="F33" s="1875">
        <v>150000</v>
      </c>
      <c r="G33" s="1875">
        <v>150000</v>
      </c>
      <c r="H33" s="1875">
        <v>150000</v>
      </c>
      <c r="I33" s="1875">
        <v>165000</v>
      </c>
      <c r="J33" s="1876">
        <v>160000</v>
      </c>
      <c r="K33" s="419"/>
    </row>
    <row r="34" spans="1:13" s="418" customFormat="1" ht="15" customHeight="1" thickBot="1">
      <c r="A34" s="740" t="s">
        <v>217</v>
      </c>
      <c r="B34" s="754" t="s">
        <v>789</v>
      </c>
      <c r="C34" s="2780" t="s">
        <v>1052</v>
      </c>
      <c r="D34" s="1879">
        <v>392967</v>
      </c>
      <c r="E34" s="1879">
        <v>392900</v>
      </c>
      <c r="F34" s="1879">
        <v>380000</v>
      </c>
      <c r="G34" s="1879">
        <v>370000</v>
      </c>
      <c r="H34" s="1879">
        <v>370000</v>
      </c>
      <c r="I34" s="1879">
        <v>390000</v>
      </c>
      <c r="J34" s="1903">
        <v>370000</v>
      </c>
      <c r="K34" s="419"/>
    </row>
    <row r="35" spans="1:13" s="418" customFormat="1" ht="15" customHeight="1">
      <c r="A35" s="3420" t="s">
        <v>110</v>
      </c>
      <c r="B35" s="3421" t="s">
        <v>923</v>
      </c>
      <c r="C35" s="2772" t="s">
        <v>1052</v>
      </c>
      <c r="D35" s="1873">
        <f>D38+D42</f>
        <v>18167459</v>
      </c>
      <c r="E35" s="1904">
        <f t="shared" ref="E35:J35" si="9">E38+E42</f>
        <v>17158133</v>
      </c>
      <c r="F35" s="1904">
        <f t="shared" si="9"/>
        <v>16223086</v>
      </c>
      <c r="G35" s="1904">
        <f t="shared" si="9"/>
        <v>14991850</v>
      </c>
      <c r="H35" s="1904">
        <f t="shared" si="9"/>
        <v>14984047</v>
      </c>
      <c r="I35" s="1904">
        <f t="shared" si="9"/>
        <v>17415663</v>
      </c>
      <c r="J35" s="1905">
        <f t="shared" si="9"/>
        <v>16720754</v>
      </c>
      <c r="K35" s="419"/>
    </row>
    <row r="36" spans="1:13" s="418" customFormat="1" ht="15" customHeight="1">
      <c r="A36" s="3397"/>
      <c r="B36" s="3422"/>
      <c r="C36" s="2782" t="s">
        <v>226</v>
      </c>
      <c r="D36" s="1906">
        <f>D35/D10</f>
        <v>0.62060923314217575</v>
      </c>
      <c r="E36" s="1907">
        <f t="shared" ref="E36:J36" si="10">E35/E10</f>
        <v>0.60954260359994672</v>
      </c>
      <c r="F36" s="1907">
        <f t="shared" si="10"/>
        <v>0.59406990067041332</v>
      </c>
      <c r="G36" s="1907">
        <f t="shared" si="10"/>
        <v>0.57440590712194206</v>
      </c>
      <c r="H36" s="1907">
        <f t="shared" si="10"/>
        <v>0.57021161314657876</v>
      </c>
      <c r="I36" s="1907">
        <f t="shared" si="10"/>
        <v>0.55949910753410836</v>
      </c>
      <c r="J36" s="1908">
        <f t="shared" si="10"/>
        <v>0.55104668608315588</v>
      </c>
      <c r="K36" s="419"/>
    </row>
    <row r="37" spans="1:13" s="418" customFormat="1" ht="15" customHeight="1" thickBot="1">
      <c r="A37" s="3412"/>
      <c r="B37" s="3414"/>
      <c r="C37" s="2776" t="s">
        <v>1485</v>
      </c>
      <c r="D37" s="1909">
        <f>D35/'2. Променливи'!E24/365</f>
        <v>33.226876017338185</v>
      </c>
      <c r="E37" s="1910">
        <f>E35/'2. Променливи'!F24/365</f>
        <v>31.380896903634071</v>
      </c>
      <c r="F37" s="1910">
        <f>F35/'2. Променливи'!G24/365</f>
        <v>28.601551453606252</v>
      </c>
      <c r="G37" s="1910">
        <f>G35/'2. Променливи'!H24/365</f>
        <v>26.278670277565972</v>
      </c>
      <c r="H37" s="1910">
        <f>H35/'2. Променливи'!I24/365</f>
        <v>23.825991620222773</v>
      </c>
      <c r="I37" s="1910">
        <f>I35/'2. Променливи'!J24/365</f>
        <v>21.777336926279986</v>
      </c>
      <c r="J37" s="1911">
        <f>J35/'2. Променливи'!K24/365</f>
        <v>20.908391114334481</v>
      </c>
      <c r="K37" s="419"/>
    </row>
    <row r="38" spans="1:13" s="421" customFormat="1" ht="15" customHeight="1">
      <c r="A38" s="3393" t="s">
        <v>227</v>
      </c>
      <c r="B38" s="3424" t="s">
        <v>790</v>
      </c>
      <c r="C38" s="2777" t="s">
        <v>1052</v>
      </c>
      <c r="D38" s="1912">
        <f>D40+D41</f>
        <v>2800000</v>
      </c>
      <c r="E38" s="1913">
        <f t="shared" ref="E38:J38" si="11">E40+E41</f>
        <v>2800000</v>
      </c>
      <c r="F38" s="1913">
        <f t="shared" si="11"/>
        <v>2690000</v>
      </c>
      <c r="G38" s="1913">
        <f t="shared" si="11"/>
        <v>2580000</v>
      </c>
      <c r="H38" s="1913">
        <f t="shared" si="11"/>
        <v>2610000</v>
      </c>
      <c r="I38" s="1913">
        <f t="shared" si="11"/>
        <v>3053700</v>
      </c>
      <c r="J38" s="1914">
        <f t="shared" si="11"/>
        <v>2987400</v>
      </c>
      <c r="K38" s="420"/>
    </row>
    <row r="39" spans="1:13" s="421" customFormat="1" ht="15" customHeight="1">
      <c r="A39" s="3394"/>
      <c r="B39" s="3425"/>
      <c r="C39" s="2774" t="s">
        <v>226</v>
      </c>
      <c r="D39" s="1915">
        <f t="shared" ref="D39:J39" si="12">D38/D10</f>
        <v>9.5649361465359142E-2</v>
      </c>
      <c r="E39" s="1916">
        <f t="shared" si="12"/>
        <v>9.9469988376931856E-2</v>
      </c>
      <c r="F39" s="1916">
        <f t="shared" si="12"/>
        <v>9.8504565210553147E-2</v>
      </c>
      <c r="G39" s="1916">
        <f t="shared" si="12"/>
        <v>9.8851525353749567E-2</v>
      </c>
      <c r="H39" s="1916">
        <f t="shared" si="12"/>
        <v>9.9322453427473256E-2</v>
      </c>
      <c r="I39" s="1916">
        <f t="shared" si="12"/>
        <v>9.8103783053042931E-2</v>
      </c>
      <c r="J39" s="1917">
        <f t="shared" si="12"/>
        <v>9.8452310823113592E-2</v>
      </c>
      <c r="K39" s="420"/>
    </row>
    <row r="40" spans="1:13" s="421" customFormat="1" ht="15" customHeight="1">
      <c r="A40" s="741" t="s">
        <v>791</v>
      </c>
      <c r="B40" s="755" t="s">
        <v>792</v>
      </c>
      <c r="C40" s="2774" t="s">
        <v>1052</v>
      </c>
      <c r="D40" s="1875">
        <v>2450000</v>
      </c>
      <c r="E40" s="1875">
        <v>2450000</v>
      </c>
      <c r="F40" s="1875">
        <v>2350000</v>
      </c>
      <c r="G40" s="1875">
        <v>2250000</v>
      </c>
      <c r="H40" s="1875">
        <v>2280000</v>
      </c>
      <c r="I40" s="1875">
        <v>2693700</v>
      </c>
      <c r="J40" s="1876">
        <v>2657400</v>
      </c>
      <c r="K40" s="420"/>
    </row>
    <row r="41" spans="1:13" s="421" customFormat="1" ht="15" customHeight="1" thickBot="1">
      <c r="A41" s="742" t="s">
        <v>793</v>
      </c>
      <c r="B41" s="756" t="s">
        <v>794</v>
      </c>
      <c r="C41" s="2780" t="s">
        <v>1052</v>
      </c>
      <c r="D41" s="1879">
        <v>350000</v>
      </c>
      <c r="E41" s="1879">
        <v>350000</v>
      </c>
      <c r="F41" s="1879">
        <v>340000</v>
      </c>
      <c r="G41" s="1879">
        <v>330000</v>
      </c>
      <c r="H41" s="1879">
        <v>330000</v>
      </c>
      <c r="I41" s="1879">
        <v>360000</v>
      </c>
      <c r="J41" s="1903">
        <v>330000</v>
      </c>
      <c r="K41" s="420"/>
    </row>
    <row r="42" spans="1:13" s="421" customFormat="1" ht="15" customHeight="1">
      <c r="A42" s="3393" t="s">
        <v>228</v>
      </c>
      <c r="B42" s="3402" t="s">
        <v>795</v>
      </c>
      <c r="C42" s="2777" t="s">
        <v>1052</v>
      </c>
      <c r="D42" s="1912">
        <f>SUM(D44:D47)</f>
        <v>15367459</v>
      </c>
      <c r="E42" s="1913">
        <f t="shared" ref="E42:J42" si="13">SUM(E44:E47)</f>
        <v>14358133</v>
      </c>
      <c r="F42" s="1913">
        <f t="shared" si="13"/>
        <v>13533086</v>
      </c>
      <c r="G42" s="1913">
        <f t="shared" si="13"/>
        <v>12411850</v>
      </c>
      <c r="H42" s="1913">
        <f t="shared" si="13"/>
        <v>12374047</v>
      </c>
      <c r="I42" s="1913">
        <f t="shared" si="13"/>
        <v>14361963</v>
      </c>
      <c r="J42" s="1914">
        <f t="shared" si="13"/>
        <v>13733354</v>
      </c>
      <c r="K42" s="420"/>
    </row>
    <row r="43" spans="1:13" s="421" customFormat="1" ht="15" customHeight="1">
      <c r="A43" s="3394"/>
      <c r="B43" s="3403"/>
      <c r="C43" s="2774" t="s">
        <v>226</v>
      </c>
      <c r="D43" s="1915">
        <f t="shared" ref="D43:J43" si="14">D42/D10</f>
        <v>0.52495987167681668</v>
      </c>
      <c r="E43" s="1916">
        <f t="shared" si="14"/>
        <v>0.51007261522301495</v>
      </c>
      <c r="F43" s="1916">
        <f t="shared" si="14"/>
        <v>0.49556533545986015</v>
      </c>
      <c r="G43" s="1916">
        <f t="shared" si="14"/>
        <v>0.47555438176819248</v>
      </c>
      <c r="H43" s="1916">
        <f t="shared" si="14"/>
        <v>0.47088915971910544</v>
      </c>
      <c r="I43" s="1916">
        <f t="shared" si="14"/>
        <v>0.46139532448106546</v>
      </c>
      <c r="J43" s="1917">
        <f t="shared" si="14"/>
        <v>0.45259437526004226</v>
      </c>
      <c r="K43" s="420"/>
    </row>
    <row r="44" spans="1:13" s="421" customFormat="1" ht="25.5">
      <c r="A44" s="741" t="s">
        <v>796</v>
      </c>
      <c r="B44" s="757" t="s">
        <v>797</v>
      </c>
      <c r="C44" s="2774" t="s">
        <v>1052</v>
      </c>
      <c r="D44" s="1875">
        <v>4700000</v>
      </c>
      <c r="E44" s="1875">
        <v>4700000</v>
      </c>
      <c r="F44" s="1875">
        <v>4650000</v>
      </c>
      <c r="G44" s="1875">
        <v>4500000</v>
      </c>
      <c r="H44" s="1875">
        <v>4500000</v>
      </c>
      <c r="I44" s="1875">
        <v>4850000</v>
      </c>
      <c r="J44" s="1876">
        <v>4850000</v>
      </c>
      <c r="K44" s="420"/>
    </row>
    <row r="45" spans="1:13" s="421" customFormat="1" ht="15" customHeight="1">
      <c r="A45" s="741" t="s">
        <v>798</v>
      </c>
      <c r="B45" s="755" t="s">
        <v>799</v>
      </c>
      <c r="C45" s="2774" t="s">
        <v>1052</v>
      </c>
      <c r="D45" s="1875">
        <v>1400000</v>
      </c>
      <c r="E45" s="1875">
        <v>1400000</v>
      </c>
      <c r="F45" s="1875">
        <v>1400000</v>
      </c>
      <c r="G45" s="1875">
        <v>1400000</v>
      </c>
      <c r="H45" s="1875">
        <v>1500000</v>
      </c>
      <c r="I45" s="1875">
        <v>1550000</v>
      </c>
      <c r="J45" s="1876">
        <v>1500000</v>
      </c>
      <c r="K45" s="420"/>
    </row>
    <row r="46" spans="1:13" s="421" customFormat="1" ht="15" customHeight="1">
      <c r="A46" s="741" t="s">
        <v>800</v>
      </c>
      <c r="B46" s="755" t="s">
        <v>801</v>
      </c>
      <c r="C46" s="2774" t="s">
        <v>1052</v>
      </c>
      <c r="D46" s="1875">
        <v>8117459</v>
      </c>
      <c r="E46" s="1875">
        <v>7108133</v>
      </c>
      <c r="F46" s="1875">
        <v>6333086</v>
      </c>
      <c r="G46" s="1875">
        <v>5411850</v>
      </c>
      <c r="H46" s="1875">
        <v>5224047</v>
      </c>
      <c r="I46" s="1875">
        <v>6761963</v>
      </c>
      <c r="J46" s="1876">
        <v>6233354</v>
      </c>
      <c r="K46" s="420"/>
    </row>
    <row r="47" spans="1:13" s="418" customFormat="1" ht="15" customHeight="1" thickBot="1">
      <c r="A47" s="742" t="s">
        <v>802</v>
      </c>
      <c r="B47" s="758" t="s">
        <v>803</v>
      </c>
      <c r="C47" s="2780" t="s">
        <v>1052</v>
      </c>
      <c r="D47" s="1879">
        <v>1150000</v>
      </c>
      <c r="E47" s="1879">
        <v>1150000</v>
      </c>
      <c r="F47" s="1879">
        <v>1150000</v>
      </c>
      <c r="G47" s="1879">
        <v>1100000</v>
      </c>
      <c r="H47" s="1879">
        <v>1150000</v>
      </c>
      <c r="I47" s="1879">
        <v>1200000</v>
      </c>
      <c r="J47" s="1903">
        <v>1150000</v>
      </c>
      <c r="K47" s="419"/>
    </row>
    <row r="48" spans="1:13" s="418" customFormat="1" ht="15" customHeight="1">
      <c r="A48" s="3396" t="s">
        <v>111</v>
      </c>
      <c r="B48" s="3399" t="s">
        <v>804</v>
      </c>
      <c r="C48" s="2775" t="s">
        <v>1052</v>
      </c>
      <c r="D48" s="1882">
        <f t="shared" ref="D48:J48" si="15">D35+D31</f>
        <v>18710426</v>
      </c>
      <c r="E48" s="1883">
        <f t="shared" si="15"/>
        <v>17701033</v>
      </c>
      <c r="F48" s="1883">
        <f t="shared" si="15"/>
        <v>16753086</v>
      </c>
      <c r="G48" s="1883">
        <f t="shared" si="15"/>
        <v>15511850</v>
      </c>
      <c r="H48" s="1883">
        <f t="shared" si="15"/>
        <v>15504047</v>
      </c>
      <c r="I48" s="1883">
        <f t="shared" si="15"/>
        <v>17970663</v>
      </c>
      <c r="J48" s="1884">
        <f t="shared" si="15"/>
        <v>17250754</v>
      </c>
      <c r="K48" s="419"/>
      <c r="M48" s="418" t="s">
        <v>263</v>
      </c>
    </row>
    <row r="49" spans="1:17" s="418" customFormat="1" ht="15" customHeight="1">
      <c r="A49" s="3397"/>
      <c r="B49" s="3400"/>
      <c r="C49" s="2782" t="s">
        <v>226</v>
      </c>
      <c r="D49" s="1906">
        <f t="shared" ref="D49:I49" si="16">D48/D10</f>
        <v>0.63915724987316214</v>
      </c>
      <c r="E49" s="1907">
        <f t="shared" si="16"/>
        <v>0.62882912384631684</v>
      </c>
      <c r="F49" s="1907">
        <f t="shared" si="16"/>
        <v>0.61347786333271559</v>
      </c>
      <c r="G49" s="1907">
        <f t="shared" si="16"/>
        <v>0.59432947037153494</v>
      </c>
      <c r="H49" s="1907">
        <f t="shared" si="16"/>
        <v>0.58999999467235886</v>
      </c>
      <c r="I49" s="1907">
        <f t="shared" si="16"/>
        <v>0.57732914964513393</v>
      </c>
      <c r="J49" s="1908">
        <f>J48/J10</f>
        <v>0.56851328738738371</v>
      </c>
      <c r="K49" s="419"/>
    </row>
    <row r="50" spans="1:17" s="418" customFormat="1" ht="15" customHeight="1">
      <c r="A50" s="3397"/>
      <c r="B50" s="3400"/>
      <c r="C50" s="2782" t="s">
        <v>1485</v>
      </c>
      <c r="D50" s="1918">
        <f>D48/'2. Променливи'!E24/365</f>
        <v>34.219920624759951</v>
      </c>
      <c r="E50" s="1919">
        <f>E48/'2. Променливи'!F24/365</f>
        <v>32.373818973242862</v>
      </c>
      <c r="F50" s="1919">
        <f>F48/'2. Променливи'!G24/365</f>
        <v>29.535949648278415</v>
      </c>
      <c r="G50" s="1919">
        <f>G48/'2. Променливи'!H24/365</f>
        <v>27.190159422957258</v>
      </c>
      <c r="H50" s="1919">
        <f>H48/'2. Променливи'!I24/365</f>
        <v>24.652838709164488</v>
      </c>
      <c r="I50" s="1919">
        <f>I48/'2. Променливи'!J24/365</f>
        <v>22.471334162795497</v>
      </c>
      <c r="J50" s="1920">
        <f>J48/'2. Променливи'!K24/365</f>
        <v>21.57112721407001</v>
      </c>
      <c r="K50" s="419"/>
    </row>
    <row r="51" spans="1:17" s="418" customFormat="1" ht="15" customHeight="1" thickBot="1">
      <c r="A51" s="3398"/>
      <c r="B51" s="3401"/>
      <c r="C51" s="2783" t="s">
        <v>991</v>
      </c>
      <c r="D51" s="1921">
        <f>D10-D21-D48</f>
        <v>0</v>
      </c>
      <c r="E51" s="1922">
        <f t="shared" ref="E51:J51" si="17">E10-E21-E48</f>
        <v>0</v>
      </c>
      <c r="F51" s="1922">
        <f t="shared" si="17"/>
        <v>0</v>
      </c>
      <c r="G51" s="1922">
        <f t="shared" si="17"/>
        <v>0</v>
      </c>
      <c r="H51" s="1922">
        <f t="shared" si="17"/>
        <v>0</v>
      </c>
      <c r="I51" s="1922">
        <f t="shared" si="17"/>
        <v>0</v>
      </c>
      <c r="J51" s="1923">
        <f t="shared" si="17"/>
        <v>0</v>
      </c>
      <c r="K51" s="419"/>
    </row>
    <row r="52" spans="1:17" ht="21" customHeight="1" thickBot="1">
      <c r="A52" s="743" t="s">
        <v>229</v>
      </c>
      <c r="B52" s="759" t="s">
        <v>230</v>
      </c>
      <c r="C52" s="2784"/>
      <c r="D52" s="1924"/>
      <c r="E52" s="1924"/>
      <c r="F52" s="1924"/>
      <c r="G52" s="1924"/>
      <c r="H52" s="1924"/>
      <c r="I52" s="1924"/>
      <c r="J52" s="1925"/>
      <c r="K52" s="422"/>
      <c r="L52" s="423"/>
      <c r="M52" s="422"/>
      <c r="N52" s="422"/>
      <c r="O52" s="422"/>
      <c r="P52" s="422"/>
      <c r="Q52" s="422"/>
    </row>
    <row r="53" spans="1:17" ht="15" customHeight="1">
      <c r="A53" s="3404">
        <v>5</v>
      </c>
      <c r="B53" s="3406" t="s">
        <v>231</v>
      </c>
      <c r="C53" s="2772" t="s">
        <v>1052</v>
      </c>
      <c r="D53" s="1867">
        <f t="shared" ref="D53:J53" si="18">D55+D57</f>
        <v>8416252</v>
      </c>
      <c r="E53" s="1868">
        <f t="shared" si="18"/>
        <v>8316353</v>
      </c>
      <c r="F53" s="1868">
        <f t="shared" si="18"/>
        <v>8461049</v>
      </c>
      <c r="G53" s="1868">
        <f t="shared" si="18"/>
        <v>8644918</v>
      </c>
      <c r="H53" s="1868">
        <f t="shared" si="18"/>
        <v>8914571</v>
      </c>
      <c r="I53" s="1868">
        <f t="shared" si="18"/>
        <v>10964551</v>
      </c>
      <c r="J53" s="1869">
        <f t="shared" si="18"/>
        <v>10915530</v>
      </c>
      <c r="K53" s="424"/>
    </row>
    <row r="54" spans="1:17" ht="15" customHeight="1" thickBot="1">
      <c r="A54" s="3405"/>
      <c r="B54" s="3407"/>
      <c r="C54" s="2776" t="s">
        <v>226</v>
      </c>
      <c r="D54" s="1870">
        <f t="shared" ref="D54:J54" si="19">D53/D21</f>
        <v>0.79675498681171419</v>
      </c>
      <c r="E54" s="1871">
        <f t="shared" si="19"/>
        <v>0.7959633279004793</v>
      </c>
      <c r="F54" s="1871">
        <f t="shared" si="19"/>
        <v>0.8015930017290851</v>
      </c>
      <c r="G54" s="1871">
        <f t="shared" si="19"/>
        <v>0.81649041042042425</v>
      </c>
      <c r="H54" s="1871">
        <f t="shared" si="19"/>
        <v>0.8274152429381143</v>
      </c>
      <c r="I54" s="1871">
        <f t="shared" si="19"/>
        <v>0.83338933827544959</v>
      </c>
      <c r="J54" s="1872">
        <f t="shared" si="19"/>
        <v>0.83370026329595703</v>
      </c>
      <c r="K54" s="424"/>
    </row>
    <row r="55" spans="1:17" ht="15" customHeight="1">
      <c r="A55" s="744" t="s">
        <v>119</v>
      </c>
      <c r="B55" s="2785" t="s">
        <v>233</v>
      </c>
      <c r="C55" s="2777" t="s">
        <v>1052</v>
      </c>
      <c r="D55" s="1888">
        <f>D56</f>
        <v>5689192</v>
      </c>
      <c r="E55" s="1889">
        <f t="shared" ref="E55:J55" si="20">E56</f>
        <v>5595085</v>
      </c>
      <c r="F55" s="1889">
        <f t="shared" si="20"/>
        <v>5721277</v>
      </c>
      <c r="G55" s="1889">
        <f t="shared" si="20"/>
        <v>5905146</v>
      </c>
      <c r="H55" s="1889">
        <f t="shared" si="20"/>
        <v>6174799</v>
      </c>
      <c r="I55" s="1889">
        <f t="shared" si="20"/>
        <v>7476928</v>
      </c>
      <c r="J55" s="1890">
        <f t="shared" si="20"/>
        <v>7427907</v>
      </c>
      <c r="K55" s="422"/>
    </row>
    <row r="56" spans="1:17" s="422" customFormat="1" ht="15" customHeight="1">
      <c r="A56" s="745" t="s">
        <v>971</v>
      </c>
      <c r="B56" s="2786" t="s">
        <v>234</v>
      </c>
      <c r="C56" s="2774" t="s">
        <v>1052</v>
      </c>
      <c r="D56" s="1875">
        <v>5689192</v>
      </c>
      <c r="E56" s="1875">
        <v>5595085</v>
      </c>
      <c r="F56" s="1875">
        <v>5721277</v>
      </c>
      <c r="G56" s="1875">
        <v>5905146</v>
      </c>
      <c r="H56" s="1875">
        <v>6174799</v>
      </c>
      <c r="I56" s="1875">
        <v>7476928</v>
      </c>
      <c r="J56" s="1876">
        <v>7427907</v>
      </c>
    </row>
    <row r="57" spans="1:17" ht="15" customHeight="1">
      <c r="A57" s="746" t="s">
        <v>124</v>
      </c>
      <c r="B57" s="2787" t="s">
        <v>236</v>
      </c>
      <c r="C57" s="2774" t="s">
        <v>1052</v>
      </c>
      <c r="D57" s="1894">
        <f>D59+D60+D61</f>
        <v>2727060</v>
      </c>
      <c r="E57" s="1895">
        <f>E59+E60+E61</f>
        <v>2721268</v>
      </c>
      <c r="F57" s="1895">
        <f>F58</f>
        <v>2739772</v>
      </c>
      <c r="G57" s="1895">
        <f>G58</f>
        <v>2739772</v>
      </c>
      <c r="H57" s="1895">
        <f>H58</f>
        <v>2739772</v>
      </c>
      <c r="I57" s="1895">
        <f>I58</f>
        <v>3487623</v>
      </c>
      <c r="J57" s="1896">
        <f>J58</f>
        <v>3487623</v>
      </c>
    </row>
    <row r="58" spans="1:17" ht="15.75">
      <c r="A58" s="745" t="s">
        <v>880</v>
      </c>
      <c r="B58" s="2786" t="s">
        <v>812</v>
      </c>
      <c r="C58" s="2774" t="s">
        <v>1052</v>
      </c>
      <c r="D58" s="1929"/>
      <c r="E58" s="1930"/>
      <c r="F58" s="1877">
        <v>2739772</v>
      </c>
      <c r="G58" s="1877">
        <v>2739772</v>
      </c>
      <c r="H58" s="1877">
        <v>2739772</v>
      </c>
      <c r="I58" s="1877">
        <v>3487623</v>
      </c>
      <c r="J58" s="1877">
        <v>3487623</v>
      </c>
    </row>
    <row r="59" spans="1:17" ht="15.75">
      <c r="A59" s="745"/>
      <c r="B59" s="2788" t="s">
        <v>1381</v>
      </c>
      <c r="C59" s="2774" t="s">
        <v>1052</v>
      </c>
      <c r="D59" s="1875">
        <v>2727060</v>
      </c>
      <c r="E59" s="1877">
        <v>2721268</v>
      </c>
      <c r="F59" s="1930"/>
      <c r="G59" s="1930"/>
      <c r="H59" s="1930"/>
      <c r="I59" s="1930"/>
      <c r="J59" s="1931"/>
    </row>
    <row r="60" spans="1:17" ht="15.75">
      <c r="A60" s="745"/>
      <c r="B60" s="2788" t="s">
        <v>1382</v>
      </c>
      <c r="C60" s="2774" t="s">
        <v>1052</v>
      </c>
      <c r="D60" s="1875"/>
      <c r="E60" s="1877"/>
      <c r="F60" s="1930"/>
      <c r="G60" s="1930"/>
      <c r="H60" s="1930"/>
      <c r="I60" s="1930"/>
      <c r="J60" s="1931"/>
    </row>
    <row r="61" spans="1:17" ht="16.5" thickBot="1">
      <c r="A61" s="747"/>
      <c r="B61" s="2789" t="s">
        <v>1383</v>
      </c>
      <c r="C61" s="2780" t="s">
        <v>1052</v>
      </c>
      <c r="D61" s="1879"/>
      <c r="E61" s="1880"/>
      <c r="F61" s="1932"/>
      <c r="G61" s="1932"/>
      <c r="H61" s="1932"/>
      <c r="I61" s="1932"/>
      <c r="J61" s="1933"/>
    </row>
    <row r="62" spans="1:17" ht="21" customHeight="1" thickBot="1">
      <c r="A62" s="748" t="s">
        <v>240</v>
      </c>
      <c r="B62" s="2790" t="s">
        <v>241</v>
      </c>
      <c r="C62" s="2784"/>
      <c r="D62" s="1934"/>
      <c r="E62" s="1934"/>
      <c r="F62" s="1934"/>
      <c r="G62" s="1934"/>
      <c r="H62" s="1934"/>
      <c r="I62" s="1934"/>
      <c r="J62" s="1935"/>
    </row>
    <row r="63" spans="1:17" ht="15" customHeight="1">
      <c r="A63" s="3404">
        <v>6</v>
      </c>
      <c r="B63" s="3406" t="s">
        <v>242</v>
      </c>
      <c r="C63" s="2772" t="s">
        <v>1052</v>
      </c>
      <c r="D63" s="1867">
        <f t="shared" ref="D63:J63" si="21">D65+D67</f>
        <v>4607306</v>
      </c>
      <c r="E63" s="1868">
        <f t="shared" si="21"/>
        <v>4577491</v>
      </c>
      <c r="F63" s="1868">
        <f t="shared" si="21"/>
        <v>4649742.333333333</v>
      </c>
      <c r="G63" s="1868">
        <f t="shared" si="21"/>
        <v>4840039.333333333</v>
      </c>
      <c r="H63" s="1868">
        <f t="shared" si="21"/>
        <v>5727339.333333333</v>
      </c>
      <c r="I63" s="1868">
        <f t="shared" si="21"/>
        <v>5783370.333333333</v>
      </c>
      <c r="J63" s="1869">
        <f t="shared" si="21"/>
        <v>5743103.333333333</v>
      </c>
    </row>
    <row r="64" spans="1:17" ht="15" customHeight="1" thickBot="1">
      <c r="A64" s="3405"/>
      <c r="B64" s="3407"/>
      <c r="C64" s="2776" t="s">
        <v>226</v>
      </c>
      <c r="D64" s="1870">
        <f t="shared" ref="D64:J64" si="22">D63/D21</f>
        <v>0.43616731429471595</v>
      </c>
      <c r="E64" s="1871">
        <f t="shared" si="22"/>
        <v>0.43811451603779844</v>
      </c>
      <c r="F64" s="1871">
        <f t="shared" si="22"/>
        <v>0.44051286244098892</v>
      </c>
      <c r="G64" s="1871">
        <f t="shared" si="22"/>
        <v>0.4571293448618402</v>
      </c>
      <c r="H64" s="1871">
        <f t="shared" si="22"/>
        <v>0.53158899804365423</v>
      </c>
      <c r="I64" s="1871">
        <f t="shared" si="22"/>
        <v>0.43958016840803904</v>
      </c>
      <c r="J64" s="1872">
        <f t="shared" si="22"/>
        <v>0.4386435437524232</v>
      </c>
      <c r="K64" s="422"/>
    </row>
    <row r="65" spans="1:13" ht="15" customHeight="1">
      <c r="A65" s="749" t="s">
        <v>333</v>
      </c>
      <c r="B65" s="2785" t="s">
        <v>233</v>
      </c>
      <c r="C65" s="2777" t="s">
        <v>1052</v>
      </c>
      <c r="D65" s="1888">
        <f>D66</f>
        <v>4018808</v>
      </c>
      <c r="E65" s="1889">
        <f t="shared" ref="E65:J65" si="23">E66</f>
        <v>3908001</v>
      </c>
      <c r="F65" s="1889">
        <f t="shared" si="23"/>
        <v>3997419</v>
      </c>
      <c r="G65" s="1889">
        <f t="shared" si="23"/>
        <v>4187716</v>
      </c>
      <c r="H65" s="1889">
        <f t="shared" si="23"/>
        <v>5074716</v>
      </c>
      <c r="I65" s="1889">
        <f t="shared" si="23"/>
        <v>5130747</v>
      </c>
      <c r="J65" s="1890">
        <f t="shared" si="23"/>
        <v>5090480</v>
      </c>
    </row>
    <row r="66" spans="1:13" ht="15" customHeight="1">
      <c r="A66" s="750" t="s">
        <v>514</v>
      </c>
      <c r="B66" s="2786" t="s">
        <v>244</v>
      </c>
      <c r="C66" s="2774" t="s">
        <v>1052</v>
      </c>
      <c r="D66" s="1875">
        <v>4018808</v>
      </c>
      <c r="E66" s="1875">
        <v>3908001</v>
      </c>
      <c r="F66" s="1875">
        <v>3997419</v>
      </c>
      <c r="G66" s="1875">
        <v>4187716</v>
      </c>
      <c r="H66" s="1875">
        <v>5074716</v>
      </c>
      <c r="I66" s="1875">
        <v>5130747</v>
      </c>
      <c r="J66" s="1876">
        <v>5090480</v>
      </c>
    </row>
    <row r="67" spans="1:13" ht="15" customHeight="1">
      <c r="A67" s="746" t="s">
        <v>335</v>
      </c>
      <c r="B67" s="2787" t="s">
        <v>236</v>
      </c>
      <c r="C67" s="2774" t="s">
        <v>1052</v>
      </c>
      <c r="D67" s="1894">
        <f>D69+D70+D71</f>
        <v>588498</v>
      </c>
      <c r="E67" s="1895">
        <f t="shared" ref="E67:J67" si="24">E69+E70+E71</f>
        <v>669490</v>
      </c>
      <c r="F67" s="1895">
        <f t="shared" si="24"/>
        <v>652323.33333333337</v>
      </c>
      <c r="G67" s="1895">
        <f t="shared" si="24"/>
        <v>652323.33333333337</v>
      </c>
      <c r="H67" s="1895">
        <f t="shared" si="24"/>
        <v>652623.33333333302</v>
      </c>
      <c r="I67" s="1895">
        <f t="shared" si="24"/>
        <v>652623.33333333302</v>
      </c>
      <c r="J67" s="1896">
        <f t="shared" si="24"/>
        <v>652623.33333333302</v>
      </c>
    </row>
    <row r="68" spans="1:13" ht="15" customHeight="1">
      <c r="A68" s="2791"/>
      <c r="B68" s="2786" t="s">
        <v>245</v>
      </c>
      <c r="C68" s="2774" t="s">
        <v>1052</v>
      </c>
      <c r="D68" s="1926"/>
      <c r="E68" s="1927"/>
      <c r="F68" s="1927"/>
      <c r="G68" s="1927"/>
      <c r="H68" s="1927"/>
      <c r="I68" s="1927"/>
      <c r="J68" s="1928"/>
    </row>
    <row r="69" spans="1:13" ht="15" customHeight="1">
      <c r="A69" s="746" t="s">
        <v>515</v>
      </c>
      <c r="B69" s="2788" t="s">
        <v>1381</v>
      </c>
      <c r="C69" s="2774" t="s">
        <v>1052</v>
      </c>
      <c r="D69" s="1875">
        <v>220640</v>
      </c>
      <c r="E69" s="1877">
        <v>222709</v>
      </c>
      <c r="F69" s="1877">
        <v>231963.33333333334</v>
      </c>
      <c r="G69" s="1877">
        <v>231963.33333333334</v>
      </c>
      <c r="H69" s="1877">
        <v>232263.33333333299</v>
      </c>
      <c r="I69" s="1877">
        <v>232263.33333333299</v>
      </c>
      <c r="J69" s="1878">
        <v>232263.33333333299</v>
      </c>
    </row>
    <row r="70" spans="1:13" ht="15" customHeight="1">
      <c r="A70" s="746" t="s">
        <v>972</v>
      </c>
      <c r="B70" s="2788" t="s">
        <v>1382</v>
      </c>
      <c r="C70" s="2774" t="s">
        <v>1052</v>
      </c>
      <c r="D70" s="1875">
        <v>75666</v>
      </c>
      <c r="E70" s="1877">
        <v>77118</v>
      </c>
      <c r="F70" s="1875">
        <v>76557</v>
      </c>
      <c r="G70" s="1877">
        <v>76557</v>
      </c>
      <c r="H70" s="1875">
        <v>76557</v>
      </c>
      <c r="I70" s="1877">
        <v>76557</v>
      </c>
      <c r="J70" s="1876">
        <v>76557</v>
      </c>
    </row>
    <row r="71" spans="1:13" ht="15" customHeight="1" thickBot="1">
      <c r="A71" s="751" t="s">
        <v>973</v>
      </c>
      <c r="B71" s="2789" t="s">
        <v>1383</v>
      </c>
      <c r="C71" s="2780" t="s">
        <v>1052</v>
      </c>
      <c r="D71" s="1879">
        <v>292192</v>
      </c>
      <c r="E71" s="1880">
        <v>369663</v>
      </c>
      <c r="F71" s="1879">
        <v>343803</v>
      </c>
      <c r="G71" s="1880">
        <v>343803</v>
      </c>
      <c r="H71" s="1879">
        <v>343803</v>
      </c>
      <c r="I71" s="1880">
        <v>343803</v>
      </c>
      <c r="J71" s="1903">
        <v>343803</v>
      </c>
    </row>
    <row r="72" spans="1:13" ht="15" customHeight="1">
      <c r="A72" s="413"/>
      <c r="K72" s="425"/>
      <c r="L72" s="425"/>
    </row>
    <row r="73" spans="1:13" ht="29.25" customHeight="1">
      <c r="A73" s="413"/>
      <c r="B73" s="426" t="str">
        <f>'2. Променливи'!C117</f>
        <v>Дата: 27.08.2018 г.</v>
      </c>
      <c r="K73" s="427"/>
      <c r="L73" s="427"/>
    </row>
    <row r="74" spans="1:13" ht="14.25" customHeight="1">
      <c r="A74" s="413"/>
      <c r="B74" s="428"/>
      <c r="C74" s="428"/>
      <c r="D74" s="428"/>
      <c r="E74" s="429" t="str">
        <f>'2. Променливи'!E115</f>
        <v>Главен счетоводител:</v>
      </c>
      <c r="F74" s="428" t="s">
        <v>4</v>
      </c>
      <c r="I74" s="430"/>
      <c r="J74" s="431"/>
      <c r="K74" s="432"/>
      <c r="L74" s="432"/>
      <c r="M74" s="431"/>
    </row>
    <row r="75" spans="1:13">
      <c r="A75" s="413"/>
      <c r="E75" s="433"/>
      <c r="F75" s="434"/>
      <c r="G75" s="435" t="s">
        <v>246</v>
      </c>
      <c r="J75" s="431"/>
      <c r="K75" s="432"/>
      <c r="L75" s="432"/>
      <c r="M75" s="431"/>
    </row>
    <row r="76" spans="1:13">
      <c r="A76" s="413"/>
      <c r="E76" s="433"/>
      <c r="F76" s="434"/>
      <c r="G76" s="435"/>
      <c r="J76" s="431"/>
      <c r="K76" s="432"/>
      <c r="L76" s="432"/>
      <c r="M76" s="431"/>
    </row>
    <row r="77" spans="1:13">
      <c r="A77" s="413"/>
      <c r="E77" s="433"/>
      <c r="F77" s="434"/>
      <c r="G77" s="435"/>
      <c r="J77" s="431"/>
      <c r="K77" s="432"/>
      <c r="L77" s="432"/>
      <c r="M77" s="431"/>
    </row>
    <row r="78" spans="1:13">
      <c r="A78" s="413"/>
      <c r="E78" s="429" t="str">
        <f>'2. Променливи'!F118</f>
        <v>Управител:</v>
      </c>
      <c r="F78" s="428" t="s">
        <v>4</v>
      </c>
      <c r="J78" s="436"/>
      <c r="K78" s="432"/>
      <c r="L78" s="432"/>
      <c r="M78" s="436"/>
    </row>
    <row r="79" spans="1:13">
      <c r="A79" s="413"/>
      <c r="E79" s="433"/>
      <c r="F79" s="434"/>
      <c r="G79" s="435" t="s">
        <v>6</v>
      </c>
    </row>
    <row r="80" spans="1:13">
      <c r="A80" s="413"/>
      <c r="E80" s="433"/>
    </row>
    <row r="81" spans="1:10">
      <c r="A81" s="3395" t="s">
        <v>247</v>
      </c>
      <c r="B81" s="3395"/>
      <c r="C81" s="3395"/>
      <c r="D81" s="3395"/>
      <c r="E81" s="437"/>
      <c r="F81" s="437"/>
      <c r="G81" s="437"/>
    </row>
    <row r="82" spans="1:10" s="439" customFormat="1">
      <c r="A82" s="3423" t="s">
        <v>248</v>
      </c>
      <c r="B82" s="3423"/>
      <c r="C82" s="3423"/>
      <c r="D82" s="3423"/>
      <c r="E82" s="437"/>
      <c r="F82" s="437"/>
      <c r="G82" s="437"/>
      <c r="H82" s="438"/>
      <c r="I82" s="438"/>
    </row>
    <row r="83" spans="1:10" s="439" customFormat="1" ht="24" customHeight="1">
      <c r="A83" s="3409" t="s">
        <v>992</v>
      </c>
      <c r="B83" s="3409"/>
      <c r="C83" s="3409"/>
      <c r="D83" s="3409"/>
      <c r="E83" s="3409"/>
      <c r="F83" s="3409"/>
      <c r="G83" s="3409"/>
      <c r="H83" s="3409"/>
      <c r="I83" s="3409"/>
      <c r="J83" s="3409"/>
    </row>
    <row r="84" spans="1:10" ht="60" customHeight="1">
      <c r="A84" s="3408" t="s">
        <v>1549</v>
      </c>
      <c r="B84" s="3408"/>
      <c r="C84" s="3408"/>
      <c r="D84" s="3408"/>
      <c r="E84" s="3408"/>
      <c r="F84" s="3408"/>
      <c r="G84" s="3408"/>
      <c r="H84" s="3408"/>
      <c r="I84" s="3408"/>
      <c r="J84" s="3408"/>
    </row>
  </sheetData>
  <sheetProtection password="C6DB" sheet="1" objects="1" scenarios="1" formatCells="0" formatColumns="0" formatRows="0"/>
  <mergeCells count="25">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 ref="A42:A43"/>
    <mergeCell ref="A81:D81"/>
    <mergeCell ref="A48:A51"/>
    <mergeCell ref="B48:B51"/>
    <mergeCell ref="B42:B43"/>
    <mergeCell ref="A53:A54"/>
    <mergeCell ref="B53:B54"/>
    <mergeCell ref="A63:A64"/>
    <mergeCell ref="B63:B64"/>
  </mergeCells>
  <printOptions horizontalCentered="1"/>
  <pageMargins left="0.70866141732283472" right="0.70866141732283472" top="0.74803149606299213" bottom="0.74803149606299213" header="0.31496062992125984" footer="0.31496062992125984"/>
  <pageSetup paperSize="9" scale="54" orientation="portrait"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C50"/>
  <sheetViews>
    <sheetView view="pageBreakPreview" zoomScale="70" zoomScaleNormal="70" zoomScaleSheetLayoutView="70" workbookViewId="0">
      <pane xSplit="2" ySplit="9" topLeftCell="C10" activePane="bottomRight" state="frozen"/>
      <selection pane="topRight" activeCell="C1" sqref="C1"/>
      <selection pane="bottomLeft" activeCell="A10" sqref="A10"/>
      <selection pane="bottomRight" activeCell="I27" sqref="I27"/>
    </sheetView>
  </sheetViews>
  <sheetFormatPr defaultRowHeight="15.75"/>
  <cols>
    <col min="1" max="1" width="4.42578125" style="3136" customWidth="1"/>
    <col min="2" max="2" width="58.7109375" style="3029" customWidth="1"/>
    <col min="3" max="9" width="8.28515625" style="3136" customWidth="1"/>
    <col min="10" max="44" width="8.28515625" style="3029" customWidth="1"/>
    <col min="45" max="51" width="8.28515625" style="3145" customWidth="1"/>
    <col min="52" max="16384" width="9.140625" style="3029"/>
  </cols>
  <sheetData>
    <row r="1" spans="1:55">
      <c r="A1" s="3025"/>
      <c r="B1" s="3025"/>
      <c r="C1" s="3025"/>
      <c r="D1" s="3025"/>
      <c r="E1" s="3025"/>
      <c r="F1" s="3025"/>
      <c r="G1" s="3025"/>
      <c r="H1" s="3025"/>
      <c r="I1" s="3025"/>
      <c r="J1" s="3025"/>
      <c r="K1" s="3025"/>
      <c r="L1" s="3025"/>
      <c r="M1" s="3025"/>
      <c r="N1" s="3025"/>
      <c r="O1" s="3025"/>
      <c r="P1" s="3025"/>
      <c r="Q1" s="3025"/>
      <c r="R1" s="3025"/>
      <c r="S1" s="3025"/>
      <c r="T1" s="3025"/>
      <c r="U1" s="3025"/>
      <c r="V1" s="3025"/>
      <c r="W1" s="3025"/>
      <c r="X1" s="3025"/>
      <c r="Y1" s="3025"/>
      <c r="Z1" s="3025"/>
      <c r="AA1" s="3025"/>
      <c r="AB1" s="3025"/>
      <c r="AC1" s="3025" t="s">
        <v>0</v>
      </c>
      <c r="AD1" s="3025"/>
      <c r="AE1" s="3026"/>
      <c r="AF1" s="3026"/>
      <c r="AG1" s="3026"/>
      <c r="AH1" s="3026"/>
      <c r="AI1" s="3026"/>
      <c r="AJ1" s="3026"/>
      <c r="AK1" s="3026"/>
      <c r="AL1" s="3026"/>
      <c r="AM1" s="3026"/>
      <c r="AN1" s="3026"/>
      <c r="AO1" s="3026"/>
      <c r="AP1" s="3026"/>
      <c r="AQ1" s="3026"/>
      <c r="AR1" s="3026"/>
      <c r="AS1" s="3027"/>
      <c r="AT1" s="3027"/>
      <c r="AU1" s="3027"/>
      <c r="AV1" s="3027"/>
      <c r="AW1" s="3027"/>
      <c r="AX1" s="3027"/>
      <c r="AY1" s="3028"/>
      <c r="AZ1" s="3026"/>
      <c r="BA1" s="3026"/>
      <c r="BB1" s="3026"/>
      <c r="BC1" s="3026"/>
    </row>
    <row r="2" spans="1:55" ht="18.75" customHeight="1">
      <c r="A2" s="3426" t="s">
        <v>744</v>
      </c>
      <c r="B2" s="3426"/>
      <c r="C2" s="3426"/>
      <c r="D2" s="3426"/>
      <c r="E2" s="3426"/>
      <c r="F2" s="3426"/>
      <c r="G2" s="3426"/>
      <c r="H2" s="3426"/>
      <c r="I2" s="3426"/>
      <c r="J2" s="3426"/>
      <c r="K2" s="3426"/>
      <c r="L2" s="3426"/>
      <c r="M2" s="3426"/>
      <c r="N2" s="3426"/>
      <c r="O2" s="3426"/>
      <c r="P2" s="3426"/>
      <c r="Q2" s="3426"/>
      <c r="R2" s="3426"/>
      <c r="S2" s="3426"/>
      <c r="T2" s="3426"/>
      <c r="U2" s="3426"/>
      <c r="V2" s="3426"/>
      <c r="W2" s="3426"/>
      <c r="X2" s="3426"/>
      <c r="Y2" s="3426"/>
      <c r="Z2" s="3426"/>
      <c r="AA2" s="3426"/>
      <c r="AB2" s="3426"/>
      <c r="AC2" s="3426"/>
      <c r="AD2" s="3426"/>
      <c r="AE2" s="1823"/>
      <c r="AF2" s="1823"/>
      <c r="AG2" s="1823"/>
      <c r="AH2" s="1823"/>
      <c r="AI2" s="1823"/>
      <c r="AJ2" s="1823"/>
      <c r="AK2" s="1823"/>
      <c r="AL2" s="1823"/>
      <c r="AM2" s="1823"/>
      <c r="AN2" s="1823"/>
      <c r="AO2" s="1823"/>
      <c r="AP2" s="1823"/>
      <c r="AQ2" s="1823"/>
      <c r="AR2" s="1823"/>
      <c r="AS2" s="1823"/>
      <c r="AT2" s="1823"/>
      <c r="AU2" s="1823"/>
      <c r="AV2" s="1823"/>
      <c r="AW2" s="1823"/>
      <c r="AX2" s="1823"/>
      <c r="AY2" s="1823"/>
      <c r="AZ2" s="3026"/>
      <c r="BA2" s="3026"/>
      <c r="BB2" s="3026"/>
      <c r="BC2" s="3026"/>
    </row>
    <row r="3" spans="1:55" ht="18.75" customHeight="1">
      <c r="A3" s="3426" t="s">
        <v>1152</v>
      </c>
      <c r="B3" s="3426"/>
      <c r="C3" s="3426"/>
      <c r="D3" s="3426"/>
      <c r="E3" s="3426"/>
      <c r="F3" s="3426"/>
      <c r="G3" s="3426"/>
      <c r="H3" s="3426"/>
      <c r="I3" s="3426"/>
      <c r="J3" s="3426"/>
      <c r="K3" s="3426"/>
      <c r="L3" s="3426"/>
      <c r="M3" s="3426"/>
      <c r="N3" s="3426"/>
      <c r="O3" s="3426"/>
      <c r="P3" s="3426"/>
      <c r="Q3" s="3426"/>
      <c r="R3" s="3426"/>
      <c r="S3" s="3426"/>
      <c r="T3" s="3426"/>
      <c r="U3" s="3426"/>
      <c r="V3" s="3426"/>
      <c r="W3" s="3426"/>
      <c r="X3" s="3426"/>
      <c r="Y3" s="3426"/>
      <c r="Z3" s="3426"/>
      <c r="AA3" s="3426"/>
      <c r="AB3" s="3426"/>
      <c r="AC3" s="3426"/>
      <c r="AD3" s="3426"/>
      <c r="AE3" s="1823"/>
      <c r="AF3" s="1823"/>
      <c r="AG3" s="1823"/>
      <c r="AH3" s="1823"/>
      <c r="AI3" s="1823"/>
      <c r="AJ3" s="1823"/>
      <c r="AK3" s="1823"/>
      <c r="AL3" s="1823"/>
      <c r="AM3" s="1823"/>
      <c r="AN3" s="1823"/>
      <c r="AO3" s="1823"/>
      <c r="AP3" s="1823"/>
      <c r="AQ3" s="1823"/>
      <c r="AR3" s="1823"/>
      <c r="AS3" s="1823"/>
      <c r="AT3" s="1823"/>
      <c r="AU3" s="1823"/>
      <c r="AV3" s="1823"/>
      <c r="AW3" s="1823"/>
      <c r="AX3" s="1823"/>
      <c r="AY3" s="1823"/>
      <c r="AZ3" s="3030"/>
      <c r="BA3" s="3030"/>
      <c r="BB3" s="3030"/>
      <c r="BC3" s="3030"/>
    </row>
    <row r="4" spans="1:55" ht="15.75" customHeight="1">
      <c r="A4" s="3426" t="str">
        <f>'1. Анкетна карта'!A3</f>
        <v>на "Водоснабдяване и канализация" ЕООД , гр. Благоевград</v>
      </c>
      <c r="B4" s="3426"/>
      <c r="C4" s="3426"/>
      <c r="D4" s="3426"/>
      <c r="E4" s="3426"/>
      <c r="F4" s="3426"/>
      <c r="G4" s="3426"/>
      <c r="H4" s="3426"/>
      <c r="I4" s="3426"/>
      <c r="J4" s="3426"/>
      <c r="K4" s="3426"/>
      <c r="L4" s="3426"/>
      <c r="M4" s="3426"/>
      <c r="N4" s="3426"/>
      <c r="O4" s="3426"/>
      <c r="P4" s="3426"/>
      <c r="Q4" s="3426"/>
      <c r="R4" s="3426"/>
      <c r="S4" s="3426"/>
      <c r="T4" s="3426"/>
      <c r="U4" s="3426"/>
      <c r="V4" s="3426"/>
      <c r="W4" s="3426"/>
      <c r="X4" s="3426"/>
      <c r="Y4" s="3426"/>
      <c r="Z4" s="3426"/>
      <c r="AA4" s="3426"/>
      <c r="AB4" s="3426"/>
      <c r="AC4" s="3426"/>
      <c r="AD4" s="3426"/>
      <c r="AE4" s="1823"/>
      <c r="AF4" s="1823"/>
      <c r="AG4" s="1823"/>
      <c r="AH4" s="1823"/>
      <c r="AI4" s="1823"/>
      <c r="AJ4" s="1823"/>
      <c r="AK4" s="1823"/>
      <c r="AL4" s="1823"/>
      <c r="AM4" s="1823"/>
      <c r="AN4" s="1823"/>
      <c r="AO4" s="1823"/>
      <c r="AP4" s="1823"/>
      <c r="AQ4" s="1823"/>
      <c r="AR4" s="1823"/>
      <c r="AS4" s="1823"/>
      <c r="AT4" s="1823"/>
      <c r="AU4" s="1823"/>
      <c r="AV4" s="1823"/>
      <c r="AW4" s="1823"/>
      <c r="AX4" s="1823"/>
      <c r="AY4" s="1823"/>
      <c r="AZ4" s="3026"/>
      <c r="BA4" s="3026"/>
      <c r="BB4" s="3026"/>
      <c r="BC4" s="3026"/>
    </row>
    <row r="5" spans="1:55" ht="15.75" customHeight="1">
      <c r="A5" s="3426" t="str">
        <f>'1. Анкетна карта'!A4</f>
        <v>ЕИК по БУЛСТАТ: 811047831</v>
      </c>
      <c r="B5" s="3426"/>
      <c r="C5" s="3426"/>
      <c r="D5" s="3426"/>
      <c r="E5" s="3426"/>
      <c r="F5" s="3426"/>
      <c r="G5" s="3426"/>
      <c r="H5" s="3426"/>
      <c r="I5" s="3426"/>
      <c r="J5" s="3426"/>
      <c r="K5" s="3426"/>
      <c r="L5" s="3426"/>
      <c r="M5" s="3426"/>
      <c r="N5" s="3426"/>
      <c r="O5" s="3426"/>
      <c r="P5" s="3426"/>
      <c r="Q5" s="3426"/>
      <c r="R5" s="3426"/>
      <c r="S5" s="3426"/>
      <c r="T5" s="3426"/>
      <c r="U5" s="3426"/>
      <c r="V5" s="3426"/>
      <c r="W5" s="3426"/>
      <c r="X5" s="3426"/>
      <c r="Y5" s="3426"/>
      <c r="Z5" s="3426"/>
      <c r="AA5" s="3426"/>
      <c r="AB5" s="3426"/>
      <c r="AC5" s="3426"/>
      <c r="AD5" s="3426"/>
      <c r="AE5" s="1823"/>
      <c r="AF5" s="1823"/>
      <c r="AG5" s="1823"/>
      <c r="AH5" s="1823"/>
      <c r="AI5" s="1823"/>
      <c r="AJ5" s="1823"/>
      <c r="AK5" s="1823"/>
      <c r="AL5" s="1823"/>
      <c r="AM5" s="1823"/>
      <c r="AN5" s="1823"/>
      <c r="AO5" s="1823"/>
      <c r="AP5" s="1823"/>
      <c r="AQ5" s="1823"/>
      <c r="AR5" s="1823"/>
      <c r="AS5" s="1823"/>
      <c r="AT5" s="1823"/>
      <c r="AU5" s="1823"/>
      <c r="AV5" s="1823"/>
      <c r="AW5" s="1823"/>
      <c r="AX5" s="1823"/>
      <c r="AY5" s="1823"/>
      <c r="AZ5" s="3026"/>
      <c r="BA5" s="3026"/>
      <c r="BB5" s="3026"/>
      <c r="BC5" s="3026"/>
    </row>
    <row r="6" spans="1:55" ht="16.5" thickBot="1">
      <c r="A6" s="3427"/>
      <c r="B6" s="3427"/>
      <c r="C6" s="3427"/>
      <c r="D6" s="3427"/>
      <c r="E6" s="3427"/>
      <c r="F6" s="3427"/>
      <c r="G6" s="3427"/>
      <c r="H6" s="3427"/>
      <c r="I6" s="3427"/>
      <c r="J6" s="3427"/>
      <c r="K6" s="3427"/>
      <c r="L6" s="3427"/>
      <c r="M6" s="3427"/>
      <c r="N6" s="3427"/>
      <c r="O6" s="3427"/>
      <c r="P6" s="3427"/>
      <c r="Q6" s="3427"/>
      <c r="R6" s="3427"/>
      <c r="S6" s="3427"/>
      <c r="T6" s="3427"/>
      <c r="U6" s="3427"/>
      <c r="V6" s="3427"/>
      <c r="W6" s="3427"/>
      <c r="X6" s="3427"/>
      <c r="Y6" s="3427"/>
      <c r="Z6" s="3427"/>
      <c r="AA6" s="3427"/>
      <c r="AB6" s="3427"/>
      <c r="AC6" s="3427"/>
      <c r="AD6" s="3427"/>
      <c r="AE6" s="3026"/>
      <c r="AF6" s="3026"/>
      <c r="AG6" s="3026"/>
      <c r="AH6" s="3026"/>
      <c r="AI6" s="3026"/>
      <c r="AJ6" s="3026"/>
      <c r="AK6" s="3026"/>
      <c r="AL6" s="3026"/>
      <c r="AM6" s="3026"/>
      <c r="AN6" s="3026"/>
      <c r="AO6" s="3026"/>
      <c r="AP6" s="3026"/>
      <c r="AQ6" s="3026"/>
      <c r="AR6" s="3026"/>
      <c r="AS6" s="3027"/>
      <c r="AT6" s="3027"/>
      <c r="AU6" s="3027"/>
      <c r="AV6" s="3027"/>
      <c r="AW6" s="3027"/>
      <c r="AX6" s="3031"/>
      <c r="AY6" s="3031"/>
      <c r="AZ6" s="3026"/>
      <c r="BA6" s="3026"/>
      <c r="BB6" s="3026"/>
      <c r="BC6" s="3026"/>
    </row>
    <row r="7" spans="1:55" ht="23.25" customHeight="1" thickBot="1">
      <c r="A7" s="3435" t="s">
        <v>1</v>
      </c>
      <c r="B7" s="3437" t="s">
        <v>265</v>
      </c>
      <c r="C7" s="3447" t="s">
        <v>287</v>
      </c>
      <c r="D7" s="3448"/>
      <c r="E7" s="3448"/>
      <c r="F7" s="3448"/>
      <c r="G7" s="3448"/>
      <c r="H7" s="3448"/>
      <c r="I7" s="3448"/>
      <c r="J7" s="3448"/>
      <c r="K7" s="3448"/>
      <c r="L7" s="3448"/>
      <c r="M7" s="3448"/>
      <c r="N7" s="3448"/>
      <c r="O7" s="3448"/>
      <c r="P7" s="3448"/>
      <c r="Q7" s="3448"/>
      <c r="R7" s="3448"/>
      <c r="S7" s="3448"/>
      <c r="T7" s="3448"/>
      <c r="U7" s="3448"/>
      <c r="V7" s="3448"/>
      <c r="W7" s="3449"/>
      <c r="X7" s="3435" t="s">
        <v>288</v>
      </c>
      <c r="Y7" s="3436"/>
      <c r="Z7" s="3436"/>
      <c r="AA7" s="3436"/>
      <c r="AB7" s="3436"/>
      <c r="AC7" s="3436"/>
      <c r="AD7" s="3437"/>
      <c r="AE7" s="3435" t="s">
        <v>1462</v>
      </c>
      <c r="AF7" s="3436"/>
      <c r="AG7" s="3436"/>
      <c r="AH7" s="3436"/>
      <c r="AI7" s="3436"/>
      <c r="AJ7" s="3436"/>
      <c r="AK7" s="3437"/>
      <c r="AL7" s="3435" t="s">
        <v>1463</v>
      </c>
      <c r="AM7" s="3436"/>
      <c r="AN7" s="3436"/>
      <c r="AO7" s="3436"/>
      <c r="AP7" s="3436"/>
      <c r="AQ7" s="3436"/>
      <c r="AR7" s="3437"/>
      <c r="AS7" s="3429" t="s">
        <v>1461</v>
      </c>
      <c r="AT7" s="3430"/>
      <c r="AU7" s="3430"/>
      <c r="AV7" s="3430"/>
      <c r="AW7" s="3430"/>
      <c r="AX7" s="3430"/>
      <c r="AY7" s="3431"/>
      <c r="AZ7" s="3030"/>
      <c r="BA7" s="3030"/>
      <c r="BB7" s="3030"/>
      <c r="BC7" s="3030"/>
    </row>
    <row r="8" spans="1:55" ht="23.25" customHeight="1">
      <c r="A8" s="3443"/>
      <c r="B8" s="3445"/>
      <c r="C8" s="3450" t="s">
        <v>270</v>
      </c>
      <c r="D8" s="3451"/>
      <c r="E8" s="3451"/>
      <c r="F8" s="3451"/>
      <c r="G8" s="3451"/>
      <c r="H8" s="3451"/>
      <c r="I8" s="3452"/>
      <c r="J8" s="3450" t="s">
        <v>271</v>
      </c>
      <c r="K8" s="3451"/>
      <c r="L8" s="3451"/>
      <c r="M8" s="3451"/>
      <c r="N8" s="3451"/>
      <c r="O8" s="3451"/>
      <c r="P8" s="3452"/>
      <c r="Q8" s="3450" t="s">
        <v>272</v>
      </c>
      <c r="R8" s="3451"/>
      <c r="S8" s="3451"/>
      <c r="T8" s="3451"/>
      <c r="U8" s="3451"/>
      <c r="V8" s="3451"/>
      <c r="W8" s="3452"/>
      <c r="X8" s="3438"/>
      <c r="Y8" s="3439"/>
      <c r="Z8" s="3439"/>
      <c r="AA8" s="3439"/>
      <c r="AB8" s="3439"/>
      <c r="AC8" s="3439"/>
      <c r="AD8" s="3440"/>
      <c r="AE8" s="3438"/>
      <c r="AF8" s="3439"/>
      <c r="AG8" s="3439"/>
      <c r="AH8" s="3439"/>
      <c r="AI8" s="3439"/>
      <c r="AJ8" s="3439"/>
      <c r="AK8" s="3440"/>
      <c r="AL8" s="3438"/>
      <c r="AM8" s="3439"/>
      <c r="AN8" s="3439"/>
      <c r="AO8" s="3439"/>
      <c r="AP8" s="3439"/>
      <c r="AQ8" s="3439"/>
      <c r="AR8" s="3440"/>
      <c r="AS8" s="3432"/>
      <c r="AT8" s="3433"/>
      <c r="AU8" s="3433"/>
      <c r="AV8" s="3433"/>
      <c r="AW8" s="3433"/>
      <c r="AX8" s="3433"/>
      <c r="AY8" s="3434"/>
      <c r="AZ8" s="3030"/>
      <c r="BA8" s="3030"/>
      <c r="BB8" s="3030"/>
      <c r="BC8" s="3030"/>
    </row>
    <row r="9" spans="1:55" ht="23.25" customHeight="1" thickBot="1">
      <c r="A9" s="3444"/>
      <c r="B9" s="3446"/>
      <c r="C9" s="3032" t="str">
        <f>'Приложение '!G12</f>
        <v>2015 г.</v>
      </c>
      <c r="D9" s="3033" t="str">
        <f>'Приложение '!G13</f>
        <v>2016 г.</v>
      </c>
      <c r="E9" s="3033" t="str">
        <f>'Приложение '!G14</f>
        <v>2017 г.</v>
      </c>
      <c r="F9" s="3033" t="str">
        <f>'Приложение '!G15</f>
        <v>2018 г.</v>
      </c>
      <c r="G9" s="3033" t="str">
        <f>'Приложение '!G16</f>
        <v>2019 г.</v>
      </c>
      <c r="H9" s="3033" t="str">
        <f>'Приложение '!G17</f>
        <v>2020 г.</v>
      </c>
      <c r="I9" s="3034" t="str">
        <f>'Приложение '!G18</f>
        <v>2021 г.</v>
      </c>
      <c r="J9" s="3035" t="str">
        <f t="shared" ref="J9:AD9" si="0">C9</f>
        <v>2015 г.</v>
      </c>
      <c r="K9" s="3036" t="str">
        <f t="shared" si="0"/>
        <v>2016 г.</v>
      </c>
      <c r="L9" s="3036" t="str">
        <f t="shared" si="0"/>
        <v>2017 г.</v>
      </c>
      <c r="M9" s="3036" t="str">
        <f t="shared" si="0"/>
        <v>2018 г.</v>
      </c>
      <c r="N9" s="3036" t="str">
        <f t="shared" si="0"/>
        <v>2019 г.</v>
      </c>
      <c r="O9" s="3036" t="str">
        <f t="shared" si="0"/>
        <v>2020 г.</v>
      </c>
      <c r="P9" s="3037" t="str">
        <f t="shared" si="0"/>
        <v>2021 г.</v>
      </c>
      <c r="Q9" s="3035" t="str">
        <f t="shared" si="0"/>
        <v>2015 г.</v>
      </c>
      <c r="R9" s="3036" t="str">
        <f t="shared" si="0"/>
        <v>2016 г.</v>
      </c>
      <c r="S9" s="3036" t="str">
        <f t="shared" si="0"/>
        <v>2017 г.</v>
      </c>
      <c r="T9" s="3036" t="str">
        <f t="shared" si="0"/>
        <v>2018 г.</v>
      </c>
      <c r="U9" s="3036" t="str">
        <f t="shared" si="0"/>
        <v>2019 г.</v>
      </c>
      <c r="V9" s="3036" t="str">
        <f t="shared" si="0"/>
        <v>2020 г.</v>
      </c>
      <c r="W9" s="3037" t="str">
        <f t="shared" si="0"/>
        <v>2021 г.</v>
      </c>
      <c r="X9" s="3035" t="str">
        <f t="shared" si="0"/>
        <v>2015 г.</v>
      </c>
      <c r="Y9" s="3036" t="str">
        <f t="shared" si="0"/>
        <v>2016 г.</v>
      </c>
      <c r="Z9" s="3036" t="str">
        <f t="shared" si="0"/>
        <v>2017 г.</v>
      </c>
      <c r="AA9" s="3036" t="str">
        <f t="shared" si="0"/>
        <v>2018 г.</v>
      </c>
      <c r="AB9" s="3036" t="str">
        <f t="shared" si="0"/>
        <v>2019 г.</v>
      </c>
      <c r="AC9" s="3036" t="str">
        <f t="shared" si="0"/>
        <v>2020 г.</v>
      </c>
      <c r="AD9" s="3037" t="str">
        <f t="shared" si="0"/>
        <v>2021 г.</v>
      </c>
      <c r="AE9" s="3035" t="str">
        <f t="shared" ref="AE9:AR9" si="1">X9</f>
        <v>2015 г.</v>
      </c>
      <c r="AF9" s="3036" t="str">
        <f t="shared" si="1"/>
        <v>2016 г.</v>
      </c>
      <c r="AG9" s="3036" t="str">
        <f t="shared" si="1"/>
        <v>2017 г.</v>
      </c>
      <c r="AH9" s="3036" t="str">
        <f t="shared" si="1"/>
        <v>2018 г.</v>
      </c>
      <c r="AI9" s="3036" t="str">
        <f t="shared" si="1"/>
        <v>2019 г.</v>
      </c>
      <c r="AJ9" s="3036" t="str">
        <f t="shared" si="1"/>
        <v>2020 г.</v>
      </c>
      <c r="AK9" s="3037" t="str">
        <f t="shared" si="1"/>
        <v>2021 г.</v>
      </c>
      <c r="AL9" s="3035" t="str">
        <f t="shared" si="1"/>
        <v>2015 г.</v>
      </c>
      <c r="AM9" s="3036" t="str">
        <f t="shared" si="1"/>
        <v>2016 г.</v>
      </c>
      <c r="AN9" s="3036" t="str">
        <f t="shared" si="1"/>
        <v>2017 г.</v>
      </c>
      <c r="AO9" s="3036" t="str">
        <f t="shared" si="1"/>
        <v>2018 г.</v>
      </c>
      <c r="AP9" s="3036" t="str">
        <f t="shared" si="1"/>
        <v>2019 г.</v>
      </c>
      <c r="AQ9" s="3036" t="str">
        <f t="shared" si="1"/>
        <v>2020 г.</v>
      </c>
      <c r="AR9" s="3037" t="str">
        <f t="shared" si="1"/>
        <v>2021 г.</v>
      </c>
      <c r="AS9" s="3035" t="str">
        <f t="shared" ref="AS9:AY9" si="2">X9</f>
        <v>2015 г.</v>
      </c>
      <c r="AT9" s="3036" t="str">
        <f t="shared" si="2"/>
        <v>2016 г.</v>
      </c>
      <c r="AU9" s="3036" t="str">
        <f t="shared" si="2"/>
        <v>2017 г.</v>
      </c>
      <c r="AV9" s="3036" t="str">
        <f t="shared" si="2"/>
        <v>2018 г.</v>
      </c>
      <c r="AW9" s="3036" t="str">
        <f t="shared" si="2"/>
        <v>2019 г.</v>
      </c>
      <c r="AX9" s="3036" t="str">
        <f t="shared" si="2"/>
        <v>2020 г.</v>
      </c>
      <c r="AY9" s="3037" t="str">
        <f t="shared" si="2"/>
        <v>2021 г.</v>
      </c>
      <c r="AZ9" s="3030"/>
      <c r="BA9" s="3030"/>
      <c r="BB9" s="3030"/>
      <c r="BC9" s="3030"/>
    </row>
    <row r="10" spans="1:55" s="3046" customFormat="1" ht="20.25" customHeight="1">
      <c r="A10" s="3038">
        <v>1</v>
      </c>
      <c r="B10" s="3039" t="s">
        <v>1217</v>
      </c>
      <c r="C10" s="3040"/>
      <c r="D10" s="3041"/>
      <c r="E10" s="3041"/>
      <c r="F10" s="3041"/>
      <c r="G10" s="3041"/>
      <c r="H10" s="3041"/>
      <c r="I10" s="3042"/>
      <c r="J10" s="3043"/>
      <c r="K10" s="3044"/>
      <c r="L10" s="3044"/>
      <c r="M10" s="3044"/>
      <c r="N10" s="3044"/>
      <c r="O10" s="3044"/>
      <c r="P10" s="3045"/>
      <c r="Q10" s="3043"/>
      <c r="R10" s="3044"/>
      <c r="S10" s="3044"/>
      <c r="T10" s="3044"/>
      <c r="U10" s="3044"/>
      <c r="V10" s="3044"/>
      <c r="W10" s="3045"/>
      <c r="X10" s="3043"/>
      <c r="Y10" s="3044"/>
      <c r="Z10" s="3044"/>
      <c r="AA10" s="3044"/>
      <c r="AB10" s="3044"/>
      <c r="AC10" s="3044"/>
      <c r="AD10" s="3045"/>
      <c r="AE10" s="3043"/>
      <c r="AF10" s="3044"/>
      <c r="AG10" s="3044"/>
      <c r="AH10" s="3044"/>
      <c r="AI10" s="3044"/>
      <c r="AJ10" s="3044"/>
      <c r="AK10" s="3045"/>
      <c r="AL10" s="3043"/>
      <c r="AM10" s="3044"/>
      <c r="AN10" s="3044"/>
      <c r="AO10" s="3044"/>
      <c r="AP10" s="3044"/>
      <c r="AQ10" s="3044"/>
      <c r="AR10" s="3045"/>
      <c r="AS10" s="3043"/>
      <c r="AT10" s="3044"/>
      <c r="AU10" s="3044"/>
      <c r="AV10" s="3044"/>
      <c r="AW10" s="3044"/>
      <c r="AX10" s="3044"/>
      <c r="AY10" s="3045"/>
      <c r="AZ10" s="3030"/>
      <c r="BA10" s="3030"/>
      <c r="BB10" s="3030"/>
      <c r="BC10" s="3030"/>
    </row>
    <row r="11" spans="1:55" s="3046" customFormat="1" ht="20.25" customHeight="1">
      <c r="A11" s="3047" t="s">
        <v>642</v>
      </c>
      <c r="B11" s="3048" t="s">
        <v>1214</v>
      </c>
      <c r="C11" s="3049">
        <v>432</v>
      </c>
      <c r="D11" s="3050">
        <v>430</v>
      </c>
      <c r="E11" s="3050">
        <v>426</v>
      </c>
      <c r="F11" s="3050">
        <v>426</v>
      </c>
      <c r="G11" s="3050">
        <v>436</v>
      </c>
      <c r="H11" s="3050">
        <v>520</v>
      </c>
      <c r="I11" s="3051">
        <v>518</v>
      </c>
      <c r="J11" s="3052">
        <v>30</v>
      </c>
      <c r="K11" s="3053">
        <v>30</v>
      </c>
      <c r="L11" s="3053">
        <v>30</v>
      </c>
      <c r="M11" s="3053">
        <v>30</v>
      </c>
      <c r="N11" s="3053">
        <v>32</v>
      </c>
      <c r="O11" s="3053">
        <v>38</v>
      </c>
      <c r="P11" s="3054">
        <v>38</v>
      </c>
      <c r="Q11" s="3052">
        <v>50</v>
      </c>
      <c r="R11" s="3053">
        <v>52</v>
      </c>
      <c r="S11" s="3053">
        <v>52</v>
      </c>
      <c r="T11" s="3053">
        <v>54</v>
      </c>
      <c r="U11" s="3053">
        <v>71</v>
      </c>
      <c r="V11" s="3053">
        <v>74</v>
      </c>
      <c r="W11" s="3054">
        <v>74</v>
      </c>
      <c r="X11" s="3052">
        <v>9</v>
      </c>
      <c r="Y11" s="3053">
        <v>9</v>
      </c>
      <c r="Z11" s="3053">
        <v>9</v>
      </c>
      <c r="AA11" s="3053">
        <v>9</v>
      </c>
      <c r="AB11" s="3053">
        <v>9</v>
      </c>
      <c r="AC11" s="3053">
        <v>9</v>
      </c>
      <c r="AD11" s="3054">
        <v>9</v>
      </c>
      <c r="AE11" s="3052"/>
      <c r="AF11" s="3053"/>
      <c r="AG11" s="3053"/>
      <c r="AH11" s="3053"/>
      <c r="AI11" s="3053"/>
      <c r="AJ11" s="3053"/>
      <c r="AK11" s="3054"/>
      <c r="AL11" s="3052"/>
      <c r="AM11" s="3053"/>
      <c r="AN11" s="3053"/>
      <c r="AO11" s="3053"/>
      <c r="AP11" s="3053"/>
      <c r="AQ11" s="3053"/>
      <c r="AR11" s="3054"/>
      <c r="AS11" s="3055">
        <f>C11+J11+Q11+X11+AE11+AL11</f>
        <v>521</v>
      </c>
      <c r="AT11" s="3056">
        <f t="shared" ref="AT11:AY11" si="3">D11+K11+R11+Y11+AF11+AM11</f>
        <v>521</v>
      </c>
      <c r="AU11" s="3056">
        <f t="shared" si="3"/>
        <v>517</v>
      </c>
      <c r="AV11" s="3056">
        <f t="shared" si="3"/>
        <v>519</v>
      </c>
      <c r="AW11" s="3056">
        <f t="shared" si="3"/>
        <v>548</v>
      </c>
      <c r="AX11" s="3056">
        <f t="shared" si="3"/>
        <v>641</v>
      </c>
      <c r="AY11" s="3057">
        <f t="shared" si="3"/>
        <v>639</v>
      </c>
      <c r="AZ11" s="3030"/>
      <c r="BA11" s="3030"/>
      <c r="BB11" s="3030"/>
      <c r="BC11" s="3030"/>
    </row>
    <row r="12" spans="1:55" s="3046" customFormat="1" ht="20.25" customHeight="1">
      <c r="A12" s="3058" t="s">
        <v>644</v>
      </c>
      <c r="B12" s="3048" t="s">
        <v>1215</v>
      </c>
      <c r="C12" s="3049"/>
      <c r="D12" s="3050"/>
      <c r="E12" s="3050"/>
      <c r="F12" s="3050"/>
      <c r="G12" s="3050"/>
      <c r="H12" s="3050"/>
      <c r="I12" s="3051"/>
      <c r="J12" s="3052"/>
      <c r="K12" s="3053"/>
      <c r="L12" s="3053"/>
      <c r="M12" s="3053"/>
      <c r="N12" s="3053"/>
      <c r="O12" s="3053"/>
      <c r="P12" s="3054"/>
      <c r="Q12" s="3052"/>
      <c r="R12" s="3053"/>
      <c r="S12" s="3053"/>
      <c r="T12" s="3053"/>
      <c r="U12" s="3053"/>
      <c r="V12" s="3053"/>
      <c r="W12" s="3054"/>
      <c r="X12" s="3052"/>
      <c r="Y12" s="3053"/>
      <c r="Z12" s="3053"/>
      <c r="AA12" s="3053"/>
      <c r="AB12" s="3053"/>
      <c r="AC12" s="3053"/>
      <c r="AD12" s="3054"/>
      <c r="AE12" s="3052"/>
      <c r="AF12" s="3053"/>
      <c r="AG12" s="3053"/>
      <c r="AH12" s="3053"/>
      <c r="AI12" s="3053"/>
      <c r="AJ12" s="3053"/>
      <c r="AK12" s="3054"/>
      <c r="AL12" s="3052"/>
      <c r="AM12" s="3053"/>
      <c r="AN12" s="3053"/>
      <c r="AO12" s="3053"/>
      <c r="AP12" s="3053"/>
      <c r="AQ12" s="3053"/>
      <c r="AR12" s="3054"/>
      <c r="AS12" s="3055">
        <f>C12+J12+Q12+X12+AE12+AL12</f>
        <v>0</v>
      </c>
      <c r="AT12" s="3056">
        <f t="shared" ref="AT12:AY14" si="4">D12+K12+R12+Y12+AF12+AM12</f>
        <v>0</v>
      </c>
      <c r="AU12" s="3056">
        <f t="shared" si="4"/>
        <v>0</v>
      </c>
      <c r="AV12" s="3056">
        <f t="shared" si="4"/>
        <v>0</v>
      </c>
      <c r="AW12" s="3056">
        <f t="shared" si="4"/>
        <v>0</v>
      </c>
      <c r="AX12" s="3056">
        <f t="shared" si="4"/>
        <v>0</v>
      </c>
      <c r="AY12" s="3057">
        <f t="shared" si="4"/>
        <v>0</v>
      </c>
      <c r="AZ12" s="3030"/>
      <c r="BA12" s="3030"/>
      <c r="BB12" s="3030"/>
      <c r="BC12" s="3030"/>
    </row>
    <row r="13" spans="1:55" s="3046" customFormat="1" ht="20.25" customHeight="1">
      <c r="A13" s="3058" t="s">
        <v>645</v>
      </c>
      <c r="B13" s="3059" t="s">
        <v>1216</v>
      </c>
      <c r="C13" s="3049">
        <v>432</v>
      </c>
      <c r="D13" s="3050">
        <v>432</v>
      </c>
      <c r="E13" s="3050">
        <v>432</v>
      </c>
      <c r="F13" s="3050">
        <v>434</v>
      </c>
      <c r="G13" s="3050">
        <v>446</v>
      </c>
      <c r="H13" s="3050">
        <v>542</v>
      </c>
      <c r="I13" s="3051">
        <v>542</v>
      </c>
      <c r="J13" s="3052">
        <v>30</v>
      </c>
      <c r="K13" s="3053">
        <v>30</v>
      </c>
      <c r="L13" s="3053">
        <v>30</v>
      </c>
      <c r="M13" s="3053">
        <v>30</v>
      </c>
      <c r="N13" s="3053">
        <v>33</v>
      </c>
      <c r="O13" s="3053">
        <v>39</v>
      </c>
      <c r="P13" s="3054">
        <v>39</v>
      </c>
      <c r="Q13" s="3052">
        <v>54</v>
      </c>
      <c r="R13" s="3053">
        <v>57</v>
      </c>
      <c r="S13" s="3053">
        <v>57</v>
      </c>
      <c r="T13" s="3053">
        <v>59</v>
      </c>
      <c r="U13" s="3053">
        <v>79</v>
      </c>
      <c r="V13" s="3053">
        <v>81</v>
      </c>
      <c r="W13" s="3054">
        <v>81</v>
      </c>
      <c r="X13" s="3052">
        <v>9</v>
      </c>
      <c r="Y13" s="3053">
        <v>9</v>
      </c>
      <c r="Z13" s="3053">
        <v>9</v>
      </c>
      <c r="AA13" s="3053">
        <v>9</v>
      </c>
      <c r="AB13" s="3053">
        <v>9</v>
      </c>
      <c r="AC13" s="3053">
        <v>9</v>
      </c>
      <c r="AD13" s="3054">
        <v>9</v>
      </c>
      <c r="AE13" s="3052"/>
      <c r="AF13" s="3053"/>
      <c r="AG13" s="3053"/>
      <c r="AH13" s="3053"/>
      <c r="AI13" s="3053"/>
      <c r="AJ13" s="3053"/>
      <c r="AK13" s="3054"/>
      <c r="AL13" s="3052"/>
      <c r="AM13" s="3053"/>
      <c r="AN13" s="3053"/>
      <c r="AO13" s="3053"/>
      <c r="AP13" s="3053"/>
      <c r="AQ13" s="3053"/>
      <c r="AR13" s="3054"/>
      <c r="AS13" s="3055">
        <f>C13+J13+Q13+X13+AE13+AL13</f>
        <v>525</v>
      </c>
      <c r="AT13" s="3056">
        <f t="shared" si="4"/>
        <v>528</v>
      </c>
      <c r="AU13" s="3056">
        <f t="shared" si="4"/>
        <v>528</v>
      </c>
      <c r="AV13" s="3056">
        <f t="shared" si="4"/>
        <v>532</v>
      </c>
      <c r="AW13" s="3056">
        <f t="shared" si="4"/>
        <v>567</v>
      </c>
      <c r="AX13" s="3056">
        <f t="shared" si="4"/>
        <v>671</v>
      </c>
      <c r="AY13" s="3057">
        <f t="shared" si="4"/>
        <v>671</v>
      </c>
      <c r="AZ13" s="3030"/>
      <c r="BA13" s="3030"/>
      <c r="BB13" s="3030"/>
      <c r="BC13" s="3030"/>
    </row>
    <row r="14" spans="1:55" s="3068" customFormat="1" ht="27" customHeight="1" thickBot="1">
      <c r="A14" s="3060" t="s">
        <v>647</v>
      </c>
      <c r="B14" s="3061" t="s">
        <v>1409</v>
      </c>
      <c r="C14" s="3062">
        <f>C11+C12</f>
        <v>432</v>
      </c>
      <c r="D14" s="3063">
        <f t="shared" ref="D14:AD14" si="5">D11+D12</f>
        <v>430</v>
      </c>
      <c r="E14" s="3063">
        <f t="shared" si="5"/>
        <v>426</v>
      </c>
      <c r="F14" s="3063">
        <f t="shared" si="5"/>
        <v>426</v>
      </c>
      <c r="G14" s="3063">
        <f t="shared" si="5"/>
        <v>436</v>
      </c>
      <c r="H14" s="3063">
        <f t="shared" si="5"/>
        <v>520</v>
      </c>
      <c r="I14" s="3064">
        <f t="shared" si="5"/>
        <v>518</v>
      </c>
      <c r="J14" s="3062">
        <f t="shared" si="5"/>
        <v>30</v>
      </c>
      <c r="K14" s="3063">
        <f t="shared" si="5"/>
        <v>30</v>
      </c>
      <c r="L14" s="3063">
        <f t="shared" si="5"/>
        <v>30</v>
      </c>
      <c r="M14" s="3063">
        <f t="shared" si="5"/>
        <v>30</v>
      </c>
      <c r="N14" s="3063">
        <f t="shared" si="5"/>
        <v>32</v>
      </c>
      <c r="O14" s="3063">
        <f t="shared" si="5"/>
        <v>38</v>
      </c>
      <c r="P14" s="3064">
        <f t="shared" si="5"/>
        <v>38</v>
      </c>
      <c r="Q14" s="3062">
        <f t="shared" si="5"/>
        <v>50</v>
      </c>
      <c r="R14" s="3063">
        <f t="shared" si="5"/>
        <v>52</v>
      </c>
      <c r="S14" s="3063">
        <f t="shared" si="5"/>
        <v>52</v>
      </c>
      <c r="T14" s="3063">
        <f t="shared" si="5"/>
        <v>54</v>
      </c>
      <c r="U14" s="3063">
        <f t="shared" si="5"/>
        <v>71</v>
      </c>
      <c r="V14" s="3063">
        <f t="shared" si="5"/>
        <v>74</v>
      </c>
      <c r="W14" s="3064">
        <f t="shared" si="5"/>
        <v>74</v>
      </c>
      <c r="X14" s="3062">
        <f t="shared" si="5"/>
        <v>9</v>
      </c>
      <c r="Y14" s="3063">
        <f t="shared" si="5"/>
        <v>9</v>
      </c>
      <c r="Z14" s="3063">
        <f t="shared" si="5"/>
        <v>9</v>
      </c>
      <c r="AA14" s="3063">
        <f t="shared" si="5"/>
        <v>9</v>
      </c>
      <c r="AB14" s="3063">
        <f t="shared" si="5"/>
        <v>9</v>
      </c>
      <c r="AC14" s="3063">
        <f t="shared" si="5"/>
        <v>9</v>
      </c>
      <c r="AD14" s="3064">
        <f t="shared" si="5"/>
        <v>9</v>
      </c>
      <c r="AE14" s="3062">
        <f t="shared" ref="AE14:AR14" si="6">AE11+AE12</f>
        <v>0</v>
      </c>
      <c r="AF14" s="3063">
        <f t="shared" si="6"/>
        <v>0</v>
      </c>
      <c r="AG14" s="3063">
        <f t="shared" si="6"/>
        <v>0</v>
      </c>
      <c r="AH14" s="3063">
        <f t="shared" si="6"/>
        <v>0</v>
      </c>
      <c r="AI14" s="3063">
        <f t="shared" si="6"/>
        <v>0</v>
      </c>
      <c r="AJ14" s="3063">
        <f t="shared" si="6"/>
        <v>0</v>
      </c>
      <c r="AK14" s="3064">
        <f t="shared" si="6"/>
        <v>0</v>
      </c>
      <c r="AL14" s="3062">
        <f t="shared" si="6"/>
        <v>0</v>
      </c>
      <c r="AM14" s="3063">
        <f t="shared" si="6"/>
        <v>0</v>
      </c>
      <c r="AN14" s="3063">
        <f t="shared" si="6"/>
        <v>0</v>
      </c>
      <c r="AO14" s="3063">
        <f t="shared" si="6"/>
        <v>0</v>
      </c>
      <c r="AP14" s="3063">
        <f t="shared" si="6"/>
        <v>0</v>
      </c>
      <c r="AQ14" s="3063">
        <f t="shared" si="6"/>
        <v>0</v>
      </c>
      <c r="AR14" s="3064">
        <f t="shared" si="6"/>
        <v>0</v>
      </c>
      <c r="AS14" s="3065">
        <f>C14+J14+Q14+X14+AE14+AL14</f>
        <v>521</v>
      </c>
      <c r="AT14" s="3066">
        <f t="shared" si="4"/>
        <v>521</v>
      </c>
      <c r="AU14" s="3066">
        <f t="shared" si="4"/>
        <v>517</v>
      </c>
      <c r="AV14" s="3066">
        <f t="shared" si="4"/>
        <v>519</v>
      </c>
      <c r="AW14" s="3066">
        <f t="shared" si="4"/>
        <v>548</v>
      </c>
      <c r="AX14" s="3066">
        <f t="shared" si="4"/>
        <v>641</v>
      </c>
      <c r="AY14" s="3067">
        <f t="shared" si="4"/>
        <v>639</v>
      </c>
      <c r="AZ14" s="3027"/>
      <c r="BA14" s="3027"/>
      <c r="BB14" s="3027"/>
      <c r="BC14" s="3027"/>
    </row>
    <row r="15" spans="1:55" s="3068" customFormat="1" ht="18" customHeight="1">
      <c r="A15" s="3069" t="s">
        <v>105</v>
      </c>
      <c r="B15" s="3070" t="s">
        <v>1219</v>
      </c>
      <c r="C15" s="3071">
        <f>'12. Разходи'!C58+'12. Разходи'!C59</f>
        <v>4037</v>
      </c>
      <c r="D15" s="3072">
        <f>'12. Разходи'!D58+'12. Разходи'!D59</f>
        <v>4121</v>
      </c>
      <c r="E15" s="3072">
        <f>'12. Разходи'!E58+'12. Разходи'!E59</f>
        <v>4231</v>
      </c>
      <c r="F15" s="3072">
        <f>'12. Разходи'!F58+'12. Разходи'!F59</f>
        <v>4347</v>
      </c>
      <c r="G15" s="3072">
        <f>'12. Разходи'!G58+'12. Разходи'!G59</f>
        <v>4499</v>
      </c>
      <c r="H15" s="3072">
        <f>'12. Разходи'!H58+'12. Разходи'!H59</f>
        <v>5439</v>
      </c>
      <c r="I15" s="3073">
        <f>'12. Разходи'!I58+'12. Разходи'!I59</f>
        <v>5588</v>
      </c>
      <c r="J15" s="3071">
        <f>'12. Разходи'!J58+'12. Разходи'!J59</f>
        <v>310</v>
      </c>
      <c r="K15" s="3072">
        <f>'12. Разходи'!K58+'12. Разходи'!K59</f>
        <v>315</v>
      </c>
      <c r="L15" s="3072">
        <f>'12. Разходи'!L58+'12. Разходи'!L59</f>
        <v>325.3</v>
      </c>
      <c r="M15" s="3072">
        <f>'12. Разходи'!M58+'12. Разходи'!M59</f>
        <v>333.45</v>
      </c>
      <c r="N15" s="3072">
        <f>'12. Разходи'!N58+'12. Разходи'!N59</f>
        <v>366</v>
      </c>
      <c r="O15" s="3072">
        <f>'12. Разходи'!O58+'12. Разходи'!O59</f>
        <v>445.3</v>
      </c>
      <c r="P15" s="3073">
        <f>'12. Разходи'!P58+'12. Разходи'!P59</f>
        <v>455.96</v>
      </c>
      <c r="Q15" s="3071">
        <f>'12. Разходи'!Q58+'12. Разходи'!Q59</f>
        <v>647</v>
      </c>
      <c r="R15" s="3072">
        <f>'12. Разходи'!R58+'12. Разходи'!R59</f>
        <v>669</v>
      </c>
      <c r="S15" s="3072">
        <f>'12. Разходи'!S58+'12. Разходи'!S59</f>
        <v>678</v>
      </c>
      <c r="T15" s="3072">
        <f>'12. Разходи'!T58+'12. Разходи'!T59</f>
        <v>708</v>
      </c>
      <c r="U15" s="3072">
        <f>'12. Разходи'!U58+'12. Разходи'!U59</f>
        <v>1002</v>
      </c>
      <c r="V15" s="3072">
        <f>'12. Разходи'!V58+'12. Разходи'!V59</f>
        <v>1047</v>
      </c>
      <c r="W15" s="3073">
        <f>'12. Разходи'!W58+'12. Разходи'!W59</f>
        <v>1082</v>
      </c>
      <c r="X15" s="3071">
        <f>'12. Разходи'!X58+'12. Разходи'!X59</f>
        <v>82</v>
      </c>
      <c r="Y15" s="3072">
        <f>'12. Разходи'!Y58+'12. Разходи'!Y59</f>
        <v>82</v>
      </c>
      <c r="Z15" s="3072">
        <f>'12. Разходи'!Z58+'12. Разходи'!Z59</f>
        <v>92</v>
      </c>
      <c r="AA15" s="3072">
        <f>'12. Разходи'!AA58+'12. Разходи'!AA59</f>
        <v>94</v>
      </c>
      <c r="AB15" s="3072">
        <f>'12. Разходи'!AB58+'12. Разходи'!AB59</f>
        <v>97</v>
      </c>
      <c r="AC15" s="3072">
        <f>'12. Разходи'!AC58+'12. Разходи'!AC59</f>
        <v>99</v>
      </c>
      <c r="AD15" s="3073">
        <f>'12. Разходи'!AD58+'12. Разходи'!AD59</f>
        <v>101</v>
      </c>
      <c r="AE15" s="3074"/>
      <c r="AF15" s="3075"/>
      <c r="AG15" s="3075"/>
      <c r="AH15" s="3075"/>
      <c r="AI15" s="3075"/>
      <c r="AJ15" s="3075"/>
      <c r="AK15" s="3076"/>
      <c r="AL15" s="3074"/>
      <c r="AM15" s="3075"/>
      <c r="AN15" s="3075"/>
      <c r="AO15" s="3075"/>
      <c r="AP15" s="3075"/>
      <c r="AQ15" s="3075"/>
      <c r="AR15" s="3076"/>
      <c r="AS15" s="3077">
        <f t="shared" ref="AS15:AS20" si="7">C15+J15+Q15+X15+AE15+AL15</f>
        <v>5076</v>
      </c>
      <c r="AT15" s="3078">
        <f t="shared" ref="AT15:AT20" si="8">D15+K15+R15+Y15+AF15+AM15</f>
        <v>5187</v>
      </c>
      <c r="AU15" s="3078">
        <f t="shared" ref="AU15:AU20" si="9">E15+L15+S15+Z15+AG15+AN15</f>
        <v>5326.3</v>
      </c>
      <c r="AV15" s="3078">
        <f t="shared" ref="AV15:AV20" si="10">F15+M15+T15+AA15+AH15+AO15</f>
        <v>5482.45</v>
      </c>
      <c r="AW15" s="3078">
        <f t="shared" ref="AW15:AW20" si="11">G15+N15+U15+AB15+AI15+AP15</f>
        <v>5964</v>
      </c>
      <c r="AX15" s="3078">
        <f t="shared" ref="AX15:AX20" si="12">H15+O15+V15+AC15+AJ15+AQ15</f>
        <v>7030.3</v>
      </c>
      <c r="AY15" s="3079">
        <f t="shared" ref="AY15:AY20" si="13">I15+P15+W15+AD15+AK15+AR15</f>
        <v>7226.96</v>
      </c>
      <c r="AZ15" s="3027"/>
      <c r="BA15" s="3027"/>
      <c r="BB15" s="3027"/>
      <c r="BC15" s="3027"/>
    </row>
    <row r="16" spans="1:55" s="3068" customFormat="1" ht="18" customHeight="1">
      <c r="A16" s="3080" t="s">
        <v>107</v>
      </c>
      <c r="B16" s="3081" t="s">
        <v>981</v>
      </c>
      <c r="C16" s="3082">
        <f>'12. Разходи'!C62+'12. Разходи'!C63</f>
        <v>830</v>
      </c>
      <c r="D16" s="3083">
        <f>'12. Разходи'!D62+'12. Разходи'!D63</f>
        <v>843</v>
      </c>
      <c r="E16" s="3083">
        <f>'12. Разходи'!E62+'12. Разходи'!E63</f>
        <v>871</v>
      </c>
      <c r="F16" s="3083">
        <f>'12. Разходи'!F62+'12. Разходи'!F63</f>
        <v>892</v>
      </c>
      <c r="G16" s="3083">
        <f>'12. Разходи'!G62+'12. Разходи'!G63</f>
        <v>912</v>
      </c>
      <c r="H16" s="3083">
        <f>'12. Разходи'!H62+'12. Разходи'!H63</f>
        <v>1108</v>
      </c>
      <c r="I16" s="3084">
        <f>'12. Разходи'!I62+'12. Разходи'!I63</f>
        <v>1134</v>
      </c>
      <c r="J16" s="3082">
        <f>'12. Разходи'!J62+'12. Разходи'!J63</f>
        <v>85</v>
      </c>
      <c r="K16" s="3083">
        <f>'12. Разходи'!K62+'12. Разходи'!K63</f>
        <v>86</v>
      </c>
      <c r="L16" s="3083">
        <f>'12. Разходи'!L62+'12. Разходи'!L63</f>
        <v>89.05</v>
      </c>
      <c r="M16" s="3083">
        <f>'12. Разходи'!M62+'12. Разходи'!M63</f>
        <v>91.02</v>
      </c>
      <c r="N16" s="3083">
        <f>'12. Разходи'!N62+'12. Разходи'!N63</f>
        <v>98</v>
      </c>
      <c r="O16" s="3083">
        <f>'12. Разходи'!O62+'12. Разходи'!O63</f>
        <v>141</v>
      </c>
      <c r="P16" s="3084">
        <f>'12. Разходи'!P62+'12. Разходи'!P63</f>
        <v>144</v>
      </c>
      <c r="Q16" s="3082">
        <f>'12. Разходи'!Q62+'12. Разходи'!Q63</f>
        <v>158</v>
      </c>
      <c r="R16" s="3083">
        <f>'12. Разходи'!R62+'12. Разходи'!R63</f>
        <v>164</v>
      </c>
      <c r="S16" s="3083">
        <f>'12. Разходи'!S62+'12. Разходи'!S63</f>
        <v>166</v>
      </c>
      <c r="T16" s="3083">
        <f>'12. Разходи'!T62+'12. Разходи'!T63</f>
        <v>171</v>
      </c>
      <c r="U16" s="3083">
        <f>'12. Разходи'!U62+'12. Разходи'!U63</f>
        <v>213</v>
      </c>
      <c r="V16" s="3083">
        <f>'12. Разходи'!V62+'12. Разходи'!V63</f>
        <v>221</v>
      </c>
      <c r="W16" s="3084">
        <f>'12. Разходи'!W62+'12. Разходи'!W63</f>
        <v>224</v>
      </c>
      <c r="X16" s="3082">
        <f>'12. Разходи'!X62+'12. Разходи'!X63</f>
        <v>11</v>
      </c>
      <c r="Y16" s="3083">
        <f>'12. Разходи'!Y62+'12. Разходи'!Y63</f>
        <v>11</v>
      </c>
      <c r="Z16" s="3083">
        <f>'12. Разходи'!Z62+'12. Разходи'!Z63</f>
        <v>11</v>
      </c>
      <c r="AA16" s="3083">
        <f>'12. Разходи'!AA62+'12. Разходи'!AA63</f>
        <v>11</v>
      </c>
      <c r="AB16" s="3083">
        <f>'12. Разходи'!AB62+'12. Разходи'!AB63</f>
        <v>11</v>
      </c>
      <c r="AC16" s="3083">
        <f>'12. Разходи'!AC62+'12. Разходи'!AC63</f>
        <v>11</v>
      </c>
      <c r="AD16" s="3084">
        <f>'12. Разходи'!AD62+'12. Разходи'!AD63</f>
        <v>11</v>
      </c>
      <c r="AE16" s="3074"/>
      <c r="AF16" s="3075"/>
      <c r="AG16" s="3075"/>
      <c r="AH16" s="3075"/>
      <c r="AI16" s="3075"/>
      <c r="AJ16" s="3075"/>
      <c r="AK16" s="3076"/>
      <c r="AL16" s="3074"/>
      <c r="AM16" s="3075"/>
      <c r="AN16" s="3075"/>
      <c r="AO16" s="3075"/>
      <c r="AP16" s="3075"/>
      <c r="AQ16" s="3075"/>
      <c r="AR16" s="3076"/>
      <c r="AS16" s="3085">
        <f t="shared" si="7"/>
        <v>1084</v>
      </c>
      <c r="AT16" s="3086">
        <f t="shared" si="8"/>
        <v>1104</v>
      </c>
      <c r="AU16" s="3086">
        <f t="shared" si="9"/>
        <v>1137.05</v>
      </c>
      <c r="AV16" s="3086">
        <f t="shared" si="10"/>
        <v>1165.02</v>
      </c>
      <c r="AW16" s="3086">
        <f t="shared" si="11"/>
        <v>1234</v>
      </c>
      <c r="AX16" s="3086">
        <f t="shared" si="12"/>
        <v>1481</v>
      </c>
      <c r="AY16" s="3087">
        <f t="shared" si="13"/>
        <v>1513</v>
      </c>
      <c r="AZ16" s="3027"/>
      <c r="BA16" s="3027"/>
      <c r="BB16" s="3027"/>
      <c r="BC16" s="3027"/>
    </row>
    <row r="17" spans="1:52" ht="18" customHeight="1">
      <c r="A17" s="3088" t="s">
        <v>225</v>
      </c>
      <c r="B17" s="3089" t="s">
        <v>983</v>
      </c>
      <c r="C17" s="3082">
        <f>'12. Разходи'!C64+'12. Разходи'!C65</f>
        <v>1092</v>
      </c>
      <c r="D17" s="3083">
        <f>'12. Разходи'!D64+'12. Разходи'!D65</f>
        <v>1122</v>
      </c>
      <c r="E17" s="3083">
        <f>'12. Разходи'!E64+'12. Разходи'!E65</f>
        <v>1145</v>
      </c>
      <c r="F17" s="3083">
        <f>'12. Разходи'!F64+'12. Разходи'!F65</f>
        <v>1172.5</v>
      </c>
      <c r="G17" s="3083">
        <f>'12. Разходи'!G64+'12. Разходи'!G65</f>
        <v>1200</v>
      </c>
      <c r="H17" s="3083">
        <f>'12. Разходи'!H64+'12. Разходи'!H65</f>
        <v>1443</v>
      </c>
      <c r="I17" s="3084">
        <f>'12. Разходи'!I64+'12. Разходи'!I65</f>
        <v>1478</v>
      </c>
      <c r="J17" s="3082">
        <f>'12. Разходи'!J64+'12. Разходи'!J65</f>
        <v>77</v>
      </c>
      <c r="K17" s="3083">
        <f>'12. Разходи'!K64+'12. Разходи'!K65</f>
        <v>77</v>
      </c>
      <c r="L17" s="3083">
        <f>'12. Разходи'!L64+'12. Разходи'!L65</f>
        <v>81.099999999999994</v>
      </c>
      <c r="M17" s="3083">
        <f>'12. Разходи'!M64+'12. Разходи'!M65</f>
        <v>83.04</v>
      </c>
      <c r="N17" s="3083">
        <f>'12. Разходи'!N64+'12. Разходи'!N65</f>
        <v>84</v>
      </c>
      <c r="O17" s="3083">
        <f>'12. Разходи'!O64+'12. Разходи'!O65</f>
        <v>87</v>
      </c>
      <c r="P17" s="3084">
        <f>'12. Разходи'!P64+'12. Разходи'!P65</f>
        <v>89</v>
      </c>
      <c r="Q17" s="3082">
        <f>'12. Разходи'!Q64+'12. Разходи'!Q65</f>
        <v>142</v>
      </c>
      <c r="R17" s="3083">
        <f>'12. Разходи'!R64+'12. Разходи'!R65</f>
        <v>142</v>
      </c>
      <c r="S17" s="3083">
        <f>'12. Разходи'!S64+'12. Разходи'!S65</f>
        <v>149</v>
      </c>
      <c r="T17" s="3083">
        <f>'12. Разходи'!T64+'12. Разходи'!T65</f>
        <v>154</v>
      </c>
      <c r="U17" s="3083">
        <f>'12. Разходи'!U64+'12. Разходи'!U65</f>
        <v>157</v>
      </c>
      <c r="V17" s="3083">
        <f>'12. Разходи'!V64+'12. Разходи'!V65</f>
        <v>162</v>
      </c>
      <c r="W17" s="3084">
        <f>'12. Разходи'!W64+'12. Разходи'!W65</f>
        <v>164</v>
      </c>
      <c r="X17" s="3082">
        <f>'12. Разходи'!X64+'12. Разходи'!X65</f>
        <v>18</v>
      </c>
      <c r="Y17" s="3083">
        <f>'12. Разходи'!Y64+'12. Разходи'!Y65</f>
        <v>18</v>
      </c>
      <c r="Z17" s="3083">
        <f>'12. Разходи'!Z64+'12. Разходи'!Z65</f>
        <v>18</v>
      </c>
      <c r="AA17" s="3083">
        <f>'12. Разходи'!AA64+'12. Разходи'!AA65</f>
        <v>18</v>
      </c>
      <c r="AB17" s="3083">
        <f>'12. Разходи'!AB64+'12. Разходи'!AB65</f>
        <v>18</v>
      </c>
      <c r="AC17" s="3083">
        <f>'12. Разходи'!AC64+'12. Разходи'!AC65</f>
        <v>18</v>
      </c>
      <c r="AD17" s="3084">
        <f>'12. Разходи'!AD64+'12. Разходи'!AD65</f>
        <v>18</v>
      </c>
      <c r="AE17" s="3074"/>
      <c r="AF17" s="3075"/>
      <c r="AG17" s="3075"/>
      <c r="AH17" s="3075"/>
      <c r="AI17" s="3075"/>
      <c r="AJ17" s="3075"/>
      <c r="AK17" s="3076"/>
      <c r="AL17" s="3074"/>
      <c r="AM17" s="3075"/>
      <c r="AN17" s="3075"/>
      <c r="AO17" s="3075"/>
      <c r="AP17" s="3075"/>
      <c r="AQ17" s="3075"/>
      <c r="AR17" s="3076"/>
      <c r="AS17" s="3085">
        <f>C17+J17+Q17+X17+AE17+AL17</f>
        <v>1329</v>
      </c>
      <c r="AT17" s="3086">
        <f t="shared" si="8"/>
        <v>1359</v>
      </c>
      <c r="AU17" s="3086">
        <f t="shared" si="9"/>
        <v>1393.1</v>
      </c>
      <c r="AV17" s="3086">
        <f t="shared" si="10"/>
        <v>1427.54</v>
      </c>
      <c r="AW17" s="3086">
        <f t="shared" si="11"/>
        <v>1459</v>
      </c>
      <c r="AX17" s="3086">
        <f t="shared" si="12"/>
        <v>1710</v>
      </c>
      <c r="AY17" s="3087">
        <f t="shared" si="13"/>
        <v>1749</v>
      </c>
    </row>
    <row r="18" spans="1:52" ht="18" customHeight="1">
      <c r="A18" s="3088" t="s">
        <v>306</v>
      </c>
      <c r="B18" s="3089" t="s">
        <v>984</v>
      </c>
      <c r="C18" s="3074">
        <v>102</v>
      </c>
      <c r="D18" s="3075">
        <v>110</v>
      </c>
      <c r="E18" s="3075">
        <v>107</v>
      </c>
      <c r="F18" s="3075">
        <v>109</v>
      </c>
      <c r="G18" s="3075">
        <v>110</v>
      </c>
      <c r="H18" s="3075">
        <v>113</v>
      </c>
      <c r="I18" s="3076">
        <v>115</v>
      </c>
      <c r="J18" s="3074">
        <v>6</v>
      </c>
      <c r="K18" s="3075">
        <v>7</v>
      </c>
      <c r="L18" s="3075">
        <v>6</v>
      </c>
      <c r="M18" s="3075">
        <v>6</v>
      </c>
      <c r="N18" s="3075">
        <v>6</v>
      </c>
      <c r="O18" s="3075">
        <v>6</v>
      </c>
      <c r="P18" s="3076">
        <v>6</v>
      </c>
      <c r="Q18" s="3074"/>
      <c r="R18" s="3075"/>
      <c r="S18" s="3075"/>
      <c r="T18" s="3075"/>
      <c r="U18" s="3075"/>
      <c r="V18" s="3075"/>
      <c r="W18" s="3076"/>
      <c r="X18" s="3074"/>
      <c r="Y18" s="3075"/>
      <c r="Z18" s="3075"/>
      <c r="AA18" s="3075"/>
      <c r="AB18" s="3075"/>
      <c r="AC18" s="3075"/>
      <c r="AD18" s="3076"/>
      <c r="AE18" s="3074"/>
      <c r="AF18" s="3075"/>
      <c r="AG18" s="3075"/>
      <c r="AH18" s="3075"/>
      <c r="AI18" s="3075"/>
      <c r="AJ18" s="3075"/>
      <c r="AK18" s="3076"/>
      <c r="AL18" s="3074"/>
      <c r="AM18" s="3075"/>
      <c r="AN18" s="3075"/>
      <c r="AO18" s="3075"/>
      <c r="AP18" s="3075"/>
      <c r="AQ18" s="3075"/>
      <c r="AR18" s="3076"/>
      <c r="AS18" s="3085">
        <f t="shared" si="7"/>
        <v>108</v>
      </c>
      <c r="AT18" s="3086">
        <f t="shared" si="8"/>
        <v>117</v>
      </c>
      <c r="AU18" s="3086">
        <f t="shared" si="9"/>
        <v>113</v>
      </c>
      <c r="AV18" s="3086">
        <f t="shared" si="10"/>
        <v>115</v>
      </c>
      <c r="AW18" s="3086">
        <f t="shared" si="11"/>
        <v>116</v>
      </c>
      <c r="AX18" s="3086">
        <f t="shared" si="12"/>
        <v>119</v>
      </c>
      <c r="AY18" s="3087">
        <f t="shared" si="13"/>
        <v>121</v>
      </c>
    </row>
    <row r="19" spans="1:52" ht="17.25" customHeight="1">
      <c r="A19" s="3088" t="s">
        <v>308</v>
      </c>
      <c r="B19" s="3089" t="s">
        <v>985</v>
      </c>
      <c r="C19" s="3074">
        <v>28</v>
      </c>
      <c r="D19" s="3075">
        <v>28</v>
      </c>
      <c r="E19" s="3075">
        <v>30</v>
      </c>
      <c r="F19" s="3075">
        <v>31</v>
      </c>
      <c r="G19" s="3075">
        <v>31</v>
      </c>
      <c r="H19" s="3075">
        <v>31</v>
      </c>
      <c r="I19" s="3076">
        <v>31</v>
      </c>
      <c r="J19" s="3074">
        <v>1</v>
      </c>
      <c r="K19" s="3075">
        <v>1</v>
      </c>
      <c r="L19" s="3075">
        <v>1</v>
      </c>
      <c r="M19" s="3075">
        <v>1</v>
      </c>
      <c r="N19" s="3075">
        <v>1</v>
      </c>
      <c r="O19" s="3075">
        <v>1</v>
      </c>
      <c r="P19" s="3076">
        <v>1</v>
      </c>
      <c r="Q19" s="3074"/>
      <c r="R19" s="3075"/>
      <c r="S19" s="3075"/>
      <c r="T19" s="3075"/>
      <c r="U19" s="3075"/>
      <c r="V19" s="3075"/>
      <c r="W19" s="3076"/>
      <c r="X19" s="3074"/>
      <c r="Y19" s="3075"/>
      <c r="Z19" s="3075"/>
      <c r="AA19" s="3075"/>
      <c r="AB19" s="3075"/>
      <c r="AC19" s="3075"/>
      <c r="AD19" s="3076"/>
      <c r="AE19" s="3074"/>
      <c r="AF19" s="3075"/>
      <c r="AG19" s="3075"/>
      <c r="AH19" s="3075"/>
      <c r="AI19" s="3075"/>
      <c r="AJ19" s="3075"/>
      <c r="AK19" s="3076"/>
      <c r="AL19" s="3074"/>
      <c r="AM19" s="3075"/>
      <c r="AN19" s="3075"/>
      <c r="AO19" s="3075"/>
      <c r="AP19" s="3075"/>
      <c r="AQ19" s="3075"/>
      <c r="AR19" s="3076"/>
      <c r="AS19" s="3085">
        <f t="shared" si="7"/>
        <v>29</v>
      </c>
      <c r="AT19" s="3086">
        <f t="shared" si="8"/>
        <v>29</v>
      </c>
      <c r="AU19" s="3086">
        <f t="shared" si="9"/>
        <v>31</v>
      </c>
      <c r="AV19" s="3086">
        <f t="shared" si="10"/>
        <v>32</v>
      </c>
      <c r="AW19" s="3086">
        <f t="shared" si="11"/>
        <v>32</v>
      </c>
      <c r="AX19" s="3086">
        <f t="shared" si="12"/>
        <v>32</v>
      </c>
      <c r="AY19" s="3087">
        <f t="shared" si="13"/>
        <v>32</v>
      </c>
    </row>
    <row r="20" spans="1:52" ht="21" customHeight="1" thickBot="1">
      <c r="A20" s="3090" t="s">
        <v>310</v>
      </c>
      <c r="B20" s="3091" t="s">
        <v>986</v>
      </c>
      <c r="C20" s="3092">
        <v>19</v>
      </c>
      <c r="D20" s="3093">
        <v>19</v>
      </c>
      <c r="E20" s="3093">
        <v>20</v>
      </c>
      <c r="F20" s="3093">
        <v>21</v>
      </c>
      <c r="G20" s="3093">
        <v>21</v>
      </c>
      <c r="H20" s="3093">
        <v>21</v>
      </c>
      <c r="I20" s="3094">
        <v>21</v>
      </c>
      <c r="J20" s="3092">
        <v>2</v>
      </c>
      <c r="K20" s="3093">
        <v>2</v>
      </c>
      <c r="L20" s="3093">
        <v>2</v>
      </c>
      <c r="M20" s="3093">
        <v>2</v>
      </c>
      <c r="N20" s="3093">
        <v>2</v>
      </c>
      <c r="O20" s="3093">
        <v>2</v>
      </c>
      <c r="P20" s="3094">
        <v>2</v>
      </c>
      <c r="Q20" s="3092"/>
      <c r="R20" s="3093"/>
      <c r="S20" s="3093"/>
      <c r="T20" s="3093"/>
      <c r="U20" s="3093"/>
      <c r="V20" s="3093"/>
      <c r="W20" s="3094"/>
      <c r="X20" s="3092"/>
      <c r="Y20" s="3093"/>
      <c r="Z20" s="3093"/>
      <c r="AA20" s="3093"/>
      <c r="AB20" s="3093"/>
      <c r="AC20" s="3093"/>
      <c r="AD20" s="3094"/>
      <c r="AE20" s="3092"/>
      <c r="AF20" s="3093"/>
      <c r="AG20" s="3093"/>
      <c r="AH20" s="3093"/>
      <c r="AI20" s="3093"/>
      <c r="AJ20" s="3093"/>
      <c r="AK20" s="3094"/>
      <c r="AL20" s="3092"/>
      <c r="AM20" s="3093"/>
      <c r="AN20" s="3093"/>
      <c r="AO20" s="3093"/>
      <c r="AP20" s="3093"/>
      <c r="AQ20" s="3093"/>
      <c r="AR20" s="3094"/>
      <c r="AS20" s="3095">
        <f t="shared" si="7"/>
        <v>21</v>
      </c>
      <c r="AT20" s="3096">
        <f t="shared" si="8"/>
        <v>21</v>
      </c>
      <c r="AU20" s="3096">
        <f t="shared" si="9"/>
        <v>22</v>
      </c>
      <c r="AV20" s="3096">
        <f t="shared" si="10"/>
        <v>23</v>
      </c>
      <c r="AW20" s="3096">
        <f t="shared" si="11"/>
        <v>23</v>
      </c>
      <c r="AX20" s="3096">
        <f t="shared" si="12"/>
        <v>23</v>
      </c>
      <c r="AY20" s="3097">
        <f t="shared" si="13"/>
        <v>23</v>
      </c>
    </row>
    <row r="21" spans="1:52" s="3068" customFormat="1" ht="30.75" customHeight="1">
      <c r="A21" s="3098" t="s">
        <v>227</v>
      </c>
      <c r="B21" s="3099" t="s">
        <v>1401</v>
      </c>
      <c r="C21" s="3100">
        <f>SUM(C22:C28)</f>
        <v>6090</v>
      </c>
      <c r="D21" s="3101">
        <f t="shared" ref="D21:I21" si="14">SUM(D22:D28)</f>
        <v>6216</v>
      </c>
      <c r="E21" s="3101">
        <f t="shared" si="14"/>
        <v>6427</v>
      </c>
      <c r="F21" s="3101">
        <f t="shared" si="14"/>
        <v>6594</v>
      </c>
      <c r="G21" s="3101">
        <f t="shared" si="14"/>
        <v>6803</v>
      </c>
      <c r="H21" s="3101">
        <f t="shared" si="14"/>
        <v>8182</v>
      </c>
      <c r="I21" s="3102">
        <f t="shared" si="14"/>
        <v>8392</v>
      </c>
      <c r="J21" s="3100">
        <f>SUM(J22:J28)</f>
        <v>482</v>
      </c>
      <c r="K21" s="3101">
        <f t="shared" ref="K21:P21" si="15">SUM(K22:K28)</f>
        <v>488</v>
      </c>
      <c r="L21" s="3101">
        <f t="shared" si="15"/>
        <v>505</v>
      </c>
      <c r="M21" s="3101">
        <f t="shared" si="15"/>
        <v>520</v>
      </c>
      <c r="N21" s="3101">
        <f t="shared" si="15"/>
        <v>562</v>
      </c>
      <c r="O21" s="3101">
        <f t="shared" si="15"/>
        <v>688</v>
      </c>
      <c r="P21" s="3102">
        <f t="shared" si="15"/>
        <v>704</v>
      </c>
      <c r="Q21" s="3100">
        <f>SUM(Q22:Q28)</f>
        <v>966</v>
      </c>
      <c r="R21" s="3101">
        <f t="shared" ref="R21:W21" si="16">SUM(R22:R28)</f>
        <v>994</v>
      </c>
      <c r="S21" s="3101">
        <f t="shared" si="16"/>
        <v>1013</v>
      </c>
      <c r="T21" s="3101">
        <f t="shared" si="16"/>
        <v>1053</v>
      </c>
      <c r="U21" s="3101">
        <f t="shared" si="16"/>
        <v>1398</v>
      </c>
      <c r="V21" s="3101">
        <f t="shared" si="16"/>
        <v>1457</v>
      </c>
      <c r="W21" s="3102">
        <f t="shared" si="16"/>
        <v>1497</v>
      </c>
      <c r="X21" s="3100">
        <f>SUM(X22:X28)</f>
        <v>111</v>
      </c>
      <c r="Y21" s="3101">
        <f t="shared" ref="Y21:AD21" si="17">SUM(Y22:Y28)</f>
        <v>111</v>
      </c>
      <c r="Z21" s="3101">
        <f t="shared" si="17"/>
        <v>121</v>
      </c>
      <c r="AA21" s="3101">
        <f t="shared" si="17"/>
        <v>123</v>
      </c>
      <c r="AB21" s="3101">
        <f t="shared" si="17"/>
        <v>126</v>
      </c>
      <c r="AC21" s="3101">
        <f t="shared" si="17"/>
        <v>128</v>
      </c>
      <c r="AD21" s="3102">
        <f t="shared" si="17"/>
        <v>130</v>
      </c>
      <c r="AE21" s="3100">
        <f>SUM(AE22:AE28)</f>
        <v>0</v>
      </c>
      <c r="AF21" s="3101">
        <f t="shared" ref="AF21:AK21" si="18">SUM(AF22:AF28)</f>
        <v>0</v>
      </c>
      <c r="AG21" s="3101">
        <f t="shared" si="18"/>
        <v>0</v>
      </c>
      <c r="AH21" s="3101">
        <f t="shared" si="18"/>
        <v>0</v>
      </c>
      <c r="AI21" s="3101">
        <f t="shared" si="18"/>
        <v>0</v>
      </c>
      <c r="AJ21" s="3101">
        <f t="shared" si="18"/>
        <v>0</v>
      </c>
      <c r="AK21" s="3102">
        <f t="shared" si="18"/>
        <v>0</v>
      </c>
      <c r="AL21" s="3100">
        <f>SUM(AL22:AL28)</f>
        <v>0</v>
      </c>
      <c r="AM21" s="3101">
        <f t="shared" ref="AM21:AR21" si="19">SUM(AM22:AM28)</f>
        <v>0</v>
      </c>
      <c r="AN21" s="3101">
        <f t="shared" si="19"/>
        <v>0</v>
      </c>
      <c r="AO21" s="3101">
        <f t="shared" si="19"/>
        <v>0</v>
      </c>
      <c r="AP21" s="3101">
        <f t="shared" si="19"/>
        <v>0</v>
      </c>
      <c r="AQ21" s="3101">
        <f t="shared" si="19"/>
        <v>0</v>
      </c>
      <c r="AR21" s="3102">
        <f t="shared" si="19"/>
        <v>0</v>
      </c>
      <c r="AS21" s="3100">
        <f>SUM(AS22:AS28)</f>
        <v>7649</v>
      </c>
      <c r="AT21" s="3101">
        <f t="shared" ref="AT21:AY21" si="20">SUM(AT22:AT28)</f>
        <v>7809</v>
      </c>
      <c r="AU21" s="3101">
        <f t="shared" si="20"/>
        <v>8066</v>
      </c>
      <c r="AV21" s="3101">
        <f t="shared" si="20"/>
        <v>8290</v>
      </c>
      <c r="AW21" s="3101">
        <f t="shared" si="20"/>
        <v>8889</v>
      </c>
      <c r="AX21" s="3101">
        <f t="shared" si="20"/>
        <v>10455</v>
      </c>
      <c r="AY21" s="3102">
        <f t="shared" si="20"/>
        <v>10723</v>
      </c>
    </row>
    <row r="22" spans="1:52">
      <c r="A22" s="3103" t="s">
        <v>228</v>
      </c>
      <c r="B22" s="3104" t="s">
        <v>1220</v>
      </c>
      <c r="C22" s="3074">
        <v>2438</v>
      </c>
      <c r="D22" s="3075">
        <v>2486</v>
      </c>
      <c r="E22" s="3075">
        <v>2555</v>
      </c>
      <c r="F22" s="3075">
        <v>2616</v>
      </c>
      <c r="G22" s="3075">
        <v>2726</v>
      </c>
      <c r="H22" s="3075">
        <v>3213</v>
      </c>
      <c r="I22" s="3076">
        <v>3310</v>
      </c>
      <c r="J22" s="3074">
        <v>188</v>
      </c>
      <c r="K22" s="3075">
        <v>193</v>
      </c>
      <c r="L22" s="3075">
        <v>197</v>
      </c>
      <c r="M22" s="3075">
        <v>202</v>
      </c>
      <c r="N22" s="3075">
        <v>230</v>
      </c>
      <c r="O22" s="3075">
        <v>268</v>
      </c>
      <c r="P22" s="3076">
        <v>274</v>
      </c>
      <c r="Q22" s="3074">
        <v>407</v>
      </c>
      <c r="R22" s="3075">
        <v>429</v>
      </c>
      <c r="S22" s="3075">
        <v>425</v>
      </c>
      <c r="T22" s="3075">
        <v>435</v>
      </c>
      <c r="U22" s="3075">
        <v>672</v>
      </c>
      <c r="V22" s="3075">
        <v>687</v>
      </c>
      <c r="W22" s="3076">
        <v>712</v>
      </c>
      <c r="X22" s="3074">
        <v>52</v>
      </c>
      <c r="Y22" s="3075">
        <v>52</v>
      </c>
      <c r="Z22" s="3075">
        <v>58</v>
      </c>
      <c r="AA22" s="3075">
        <v>59</v>
      </c>
      <c r="AB22" s="3075">
        <v>60</v>
      </c>
      <c r="AC22" s="3075">
        <v>62</v>
      </c>
      <c r="AD22" s="3076">
        <v>63</v>
      </c>
      <c r="AE22" s="3074"/>
      <c r="AF22" s="3075"/>
      <c r="AG22" s="3075"/>
      <c r="AH22" s="3075"/>
      <c r="AI22" s="3075"/>
      <c r="AJ22" s="3075"/>
      <c r="AK22" s="3076"/>
      <c r="AL22" s="3074"/>
      <c r="AM22" s="3075"/>
      <c r="AN22" s="3075"/>
      <c r="AO22" s="3075"/>
      <c r="AP22" s="3075"/>
      <c r="AQ22" s="3075"/>
      <c r="AR22" s="3076"/>
      <c r="AS22" s="3085">
        <f t="shared" ref="AS22:AS28" si="21">C22+J22+Q22+X22+AE22+AL22</f>
        <v>3085</v>
      </c>
      <c r="AT22" s="3086">
        <f t="shared" ref="AT22:AT28" si="22">D22+K22+R22+Y22+AF22+AM22</f>
        <v>3160</v>
      </c>
      <c r="AU22" s="3086">
        <f t="shared" ref="AU22:AU28" si="23">E22+L22+S22+Z22+AG22+AN22</f>
        <v>3235</v>
      </c>
      <c r="AV22" s="3086">
        <f t="shared" ref="AV22:AV28" si="24">F22+M22+T22+AA22+AH22+AO22</f>
        <v>3312</v>
      </c>
      <c r="AW22" s="3086">
        <f t="shared" ref="AW22:AW28" si="25">G22+N22+U22+AB22+AI22+AP22</f>
        <v>3688</v>
      </c>
      <c r="AX22" s="3086">
        <f t="shared" ref="AX22:AX28" si="26">H22+O22+V22+AC22+AJ22+AQ22</f>
        <v>4230</v>
      </c>
      <c r="AY22" s="3087">
        <f t="shared" ref="AY22:AY28" si="27">I22+P22+W22+AD22+AK22+AR22</f>
        <v>4359</v>
      </c>
    </row>
    <row r="23" spans="1:52" ht="31.5">
      <c r="A23" s="3103" t="s">
        <v>835</v>
      </c>
      <c r="B23" s="3104" t="s">
        <v>1221</v>
      </c>
      <c r="C23" s="3074">
        <v>435</v>
      </c>
      <c r="D23" s="3075">
        <v>471</v>
      </c>
      <c r="E23" s="3075">
        <v>459</v>
      </c>
      <c r="F23" s="3075">
        <v>485</v>
      </c>
      <c r="G23" s="3075">
        <v>497</v>
      </c>
      <c r="H23" s="3075">
        <v>577</v>
      </c>
      <c r="I23" s="3076">
        <v>589</v>
      </c>
      <c r="J23" s="3074">
        <v>34</v>
      </c>
      <c r="K23" s="3075">
        <v>34</v>
      </c>
      <c r="L23" s="3075">
        <v>36</v>
      </c>
      <c r="M23" s="3075">
        <v>37</v>
      </c>
      <c r="N23" s="3075">
        <v>39</v>
      </c>
      <c r="O23" s="3075">
        <v>54</v>
      </c>
      <c r="P23" s="3076">
        <v>56</v>
      </c>
      <c r="Q23" s="3074">
        <v>78</v>
      </c>
      <c r="R23" s="3075">
        <v>78</v>
      </c>
      <c r="S23" s="3075">
        <v>84</v>
      </c>
      <c r="T23" s="3075">
        <v>101</v>
      </c>
      <c r="U23" s="3075">
        <v>101</v>
      </c>
      <c r="V23" s="3075">
        <v>116</v>
      </c>
      <c r="W23" s="3076">
        <v>121</v>
      </c>
      <c r="X23" s="3074">
        <v>10</v>
      </c>
      <c r="Y23" s="3075">
        <v>10</v>
      </c>
      <c r="Z23" s="3075">
        <v>12</v>
      </c>
      <c r="AA23" s="3075">
        <v>12</v>
      </c>
      <c r="AB23" s="3075">
        <v>13</v>
      </c>
      <c r="AC23" s="3075">
        <v>13</v>
      </c>
      <c r="AD23" s="3076">
        <v>13</v>
      </c>
      <c r="AE23" s="3074"/>
      <c r="AF23" s="3075"/>
      <c r="AG23" s="3075"/>
      <c r="AH23" s="3075"/>
      <c r="AI23" s="3075"/>
      <c r="AJ23" s="3075"/>
      <c r="AK23" s="3076"/>
      <c r="AL23" s="3074"/>
      <c r="AM23" s="3075"/>
      <c r="AN23" s="3075"/>
      <c r="AO23" s="3075"/>
      <c r="AP23" s="3075"/>
      <c r="AQ23" s="3075"/>
      <c r="AR23" s="3076"/>
      <c r="AS23" s="3085">
        <f t="shared" si="21"/>
        <v>557</v>
      </c>
      <c r="AT23" s="3086">
        <f t="shared" si="22"/>
        <v>593</v>
      </c>
      <c r="AU23" s="3086">
        <f t="shared" si="23"/>
        <v>591</v>
      </c>
      <c r="AV23" s="3086">
        <f t="shared" si="24"/>
        <v>635</v>
      </c>
      <c r="AW23" s="3086">
        <f t="shared" si="25"/>
        <v>650</v>
      </c>
      <c r="AX23" s="3086">
        <f t="shared" si="26"/>
        <v>760</v>
      </c>
      <c r="AY23" s="3087">
        <f t="shared" si="27"/>
        <v>779</v>
      </c>
    </row>
    <row r="24" spans="1:52">
      <c r="A24" s="3103" t="s">
        <v>1395</v>
      </c>
      <c r="B24" s="3104" t="s">
        <v>1222</v>
      </c>
      <c r="C24" s="3074">
        <v>322</v>
      </c>
      <c r="D24" s="3075">
        <v>322</v>
      </c>
      <c r="E24" s="3075">
        <v>335</v>
      </c>
      <c r="F24" s="3075">
        <v>343</v>
      </c>
      <c r="G24" s="3075">
        <v>351</v>
      </c>
      <c r="H24" s="3075">
        <v>468</v>
      </c>
      <c r="I24" s="3076">
        <v>479</v>
      </c>
      <c r="J24" s="3074">
        <v>25</v>
      </c>
      <c r="K24" s="3075">
        <v>25</v>
      </c>
      <c r="L24" s="3075">
        <v>26</v>
      </c>
      <c r="M24" s="3075">
        <v>26</v>
      </c>
      <c r="N24" s="3075">
        <v>27</v>
      </c>
      <c r="O24" s="3075">
        <v>36</v>
      </c>
      <c r="P24" s="3076">
        <v>37</v>
      </c>
      <c r="Q24" s="3074">
        <v>60</v>
      </c>
      <c r="R24" s="3075">
        <v>60</v>
      </c>
      <c r="S24" s="3075">
        <v>63</v>
      </c>
      <c r="T24" s="3075">
        <v>64</v>
      </c>
      <c r="U24" s="3075">
        <v>78</v>
      </c>
      <c r="V24" s="3075">
        <v>90</v>
      </c>
      <c r="W24" s="3076">
        <v>92</v>
      </c>
      <c r="X24" s="3074">
        <v>7</v>
      </c>
      <c r="Y24" s="3075">
        <v>7</v>
      </c>
      <c r="Z24" s="3075">
        <v>8</v>
      </c>
      <c r="AA24" s="3075">
        <v>8</v>
      </c>
      <c r="AB24" s="3075">
        <v>9</v>
      </c>
      <c r="AC24" s="3075">
        <v>9</v>
      </c>
      <c r="AD24" s="3076">
        <v>10</v>
      </c>
      <c r="AE24" s="3074"/>
      <c r="AF24" s="3075"/>
      <c r="AG24" s="3075"/>
      <c r="AH24" s="3075"/>
      <c r="AI24" s="3075"/>
      <c r="AJ24" s="3075"/>
      <c r="AK24" s="3076"/>
      <c r="AL24" s="3074"/>
      <c r="AM24" s="3075"/>
      <c r="AN24" s="3075"/>
      <c r="AO24" s="3075"/>
      <c r="AP24" s="3075"/>
      <c r="AQ24" s="3075"/>
      <c r="AR24" s="3076"/>
      <c r="AS24" s="3085">
        <f>C24+J24+Q24+X24+AE24+AL24</f>
        <v>414</v>
      </c>
      <c r="AT24" s="3086">
        <f t="shared" si="22"/>
        <v>414</v>
      </c>
      <c r="AU24" s="3086">
        <f t="shared" si="23"/>
        <v>432</v>
      </c>
      <c r="AV24" s="3086">
        <f t="shared" si="24"/>
        <v>441</v>
      </c>
      <c r="AW24" s="3086">
        <f t="shared" si="25"/>
        <v>465</v>
      </c>
      <c r="AX24" s="3086">
        <f t="shared" si="26"/>
        <v>603</v>
      </c>
      <c r="AY24" s="3087">
        <f t="shared" si="27"/>
        <v>618</v>
      </c>
    </row>
    <row r="25" spans="1:52" ht="31.5">
      <c r="A25" s="3103" t="s">
        <v>1396</v>
      </c>
      <c r="B25" s="3104" t="s">
        <v>1223</v>
      </c>
      <c r="C25" s="3074">
        <v>842</v>
      </c>
      <c r="D25" s="3075">
        <v>842</v>
      </c>
      <c r="E25" s="3075">
        <v>882</v>
      </c>
      <c r="F25" s="3075">
        <v>903</v>
      </c>
      <c r="G25" s="3075">
        <v>925</v>
      </c>
      <c r="H25" s="3075">
        <v>1181</v>
      </c>
      <c r="I25" s="3076">
        <v>1210</v>
      </c>
      <c r="J25" s="3074">
        <v>63</v>
      </c>
      <c r="K25" s="3075">
        <v>63</v>
      </c>
      <c r="L25" s="3075">
        <v>66</v>
      </c>
      <c r="M25" s="3075">
        <v>68</v>
      </c>
      <c r="N25" s="3075">
        <v>70</v>
      </c>
      <c r="O25" s="3075">
        <v>87</v>
      </c>
      <c r="P25" s="3076">
        <v>89</v>
      </c>
      <c r="Q25" s="3074">
        <v>102</v>
      </c>
      <c r="R25" s="3075">
        <v>102</v>
      </c>
      <c r="S25" s="3075">
        <v>106</v>
      </c>
      <c r="T25" s="3075">
        <v>108</v>
      </c>
      <c r="U25" s="3075">
        <v>151</v>
      </c>
      <c r="V25" s="3075">
        <v>154</v>
      </c>
      <c r="W25" s="3076">
        <v>157</v>
      </c>
      <c r="X25" s="3074">
        <v>13</v>
      </c>
      <c r="Y25" s="3075">
        <v>13</v>
      </c>
      <c r="Z25" s="3075">
        <v>14</v>
      </c>
      <c r="AA25" s="3075">
        <v>15</v>
      </c>
      <c r="AB25" s="3075">
        <v>15</v>
      </c>
      <c r="AC25" s="3075">
        <v>15</v>
      </c>
      <c r="AD25" s="3076">
        <v>15</v>
      </c>
      <c r="AE25" s="3074"/>
      <c r="AF25" s="3075"/>
      <c r="AG25" s="3075"/>
      <c r="AH25" s="3075"/>
      <c r="AI25" s="3075"/>
      <c r="AJ25" s="3075"/>
      <c r="AK25" s="3076"/>
      <c r="AL25" s="3074"/>
      <c r="AM25" s="3075"/>
      <c r="AN25" s="3075"/>
      <c r="AO25" s="3075"/>
      <c r="AP25" s="3075"/>
      <c r="AQ25" s="3075"/>
      <c r="AR25" s="3076"/>
      <c r="AS25" s="3085">
        <f t="shared" si="21"/>
        <v>1020</v>
      </c>
      <c r="AT25" s="3086">
        <f t="shared" si="22"/>
        <v>1020</v>
      </c>
      <c r="AU25" s="3086">
        <f t="shared" si="23"/>
        <v>1068</v>
      </c>
      <c r="AV25" s="3086">
        <f t="shared" si="24"/>
        <v>1094</v>
      </c>
      <c r="AW25" s="3086">
        <f t="shared" si="25"/>
        <v>1161</v>
      </c>
      <c r="AX25" s="3086">
        <f t="shared" si="26"/>
        <v>1437</v>
      </c>
      <c r="AY25" s="3087">
        <f t="shared" si="27"/>
        <v>1471</v>
      </c>
    </row>
    <row r="26" spans="1:52" ht="21" customHeight="1">
      <c r="A26" s="3088" t="s">
        <v>1397</v>
      </c>
      <c r="B26" s="3104" t="s">
        <v>1224</v>
      </c>
      <c r="C26" s="3074">
        <v>131</v>
      </c>
      <c r="D26" s="3075">
        <v>130</v>
      </c>
      <c r="E26" s="3075">
        <v>130</v>
      </c>
      <c r="F26" s="3075">
        <v>130</v>
      </c>
      <c r="G26" s="3075">
        <v>140</v>
      </c>
      <c r="H26" s="3075">
        <v>140</v>
      </c>
      <c r="I26" s="3076">
        <v>140</v>
      </c>
      <c r="J26" s="3074">
        <v>10</v>
      </c>
      <c r="K26" s="3075">
        <v>10</v>
      </c>
      <c r="L26" s="3075">
        <v>10</v>
      </c>
      <c r="M26" s="3075">
        <v>10</v>
      </c>
      <c r="N26" s="3075">
        <v>11</v>
      </c>
      <c r="O26" s="3075">
        <v>12</v>
      </c>
      <c r="P26" s="3076">
        <v>12</v>
      </c>
      <c r="Q26" s="3074">
        <v>19</v>
      </c>
      <c r="R26" s="3075">
        <v>19</v>
      </c>
      <c r="S26" s="3075">
        <v>20</v>
      </c>
      <c r="T26" s="3075">
        <v>20</v>
      </c>
      <c r="U26" s="3075">
        <v>26</v>
      </c>
      <c r="V26" s="3075">
        <v>27</v>
      </c>
      <c r="W26" s="3076">
        <v>27</v>
      </c>
      <c r="X26" s="3074"/>
      <c r="Y26" s="3075"/>
      <c r="Z26" s="3075"/>
      <c r="AA26" s="3075"/>
      <c r="AB26" s="3075"/>
      <c r="AC26" s="3075"/>
      <c r="AD26" s="3076"/>
      <c r="AE26" s="3074"/>
      <c r="AF26" s="3075"/>
      <c r="AG26" s="3075"/>
      <c r="AH26" s="3075"/>
      <c r="AI26" s="3075"/>
      <c r="AJ26" s="3075"/>
      <c r="AK26" s="3076"/>
      <c r="AL26" s="3074"/>
      <c r="AM26" s="3075"/>
      <c r="AN26" s="3075"/>
      <c r="AO26" s="3075"/>
      <c r="AP26" s="3075"/>
      <c r="AQ26" s="3075"/>
      <c r="AR26" s="3076"/>
      <c r="AS26" s="3085">
        <f t="shared" si="21"/>
        <v>160</v>
      </c>
      <c r="AT26" s="3086">
        <f t="shared" si="22"/>
        <v>159</v>
      </c>
      <c r="AU26" s="3086">
        <f t="shared" si="23"/>
        <v>160</v>
      </c>
      <c r="AV26" s="3086">
        <f t="shared" si="24"/>
        <v>160</v>
      </c>
      <c r="AW26" s="3086">
        <f t="shared" si="25"/>
        <v>177</v>
      </c>
      <c r="AX26" s="3086">
        <f t="shared" si="26"/>
        <v>179</v>
      </c>
      <c r="AY26" s="3087">
        <f t="shared" si="27"/>
        <v>179</v>
      </c>
    </row>
    <row r="27" spans="1:52" ht="21" customHeight="1">
      <c r="A27" s="3088" t="s">
        <v>1398</v>
      </c>
      <c r="B27" s="3104" t="s">
        <v>1225</v>
      </c>
      <c r="C27" s="3074">
        <v>830</v>
      </c>
      <c r="D27" s="3075">
        <v>843</v>
      </c>
      <c r="E27" s="3075">
        <v>901</v>
      </c>
      <c r="F27" s="3075">
        <v>923</v>
      </c>
      <c r="G27" s="3075">
        <v>943</v>
      </c>
      <c r="H27" s="3075">
        <v>1139</v>
      </c>
      <c r="I27" s="3076">
        <v>1165</v>
      </c>
      <c r="J27" s="3074">
        <v>85</v>
      </c>
      <c r="K27" s="3075">
        <v>86</v>
      </c>
      <c r="L27" s="3075">
        <v>89</v>
      </c>
      <c r="M27" s="3075">
        <v>92</v>
      </c>
      <c r="N27" s="3075">
        <v>99</v>
      </c>
      <c r="O27" s="3075">
        <v>142</v>
      </c>
      <c r="P27" s="3076">
        <v>145</v>
      </c>
      <c r="Q27" s="3074">
        <v>158</v>
      </c>
      <c r="R27" s="3075">
        <v>164</v>
      </c>
      <c r="S27" s="3075">
        <v>166</v>
      </c>
      <c r="T27" s="3075">
        <v>171</v>
      </c>
      <c r="U27" s="3075">
        <v>213</v>
      </c>
      <c r="V27" s="3075">
        <v>221</v>
      </c>
      <c r="W27" s="3076">
        <v>224</v>
      </c>
      <c r="X27" s="3074">
        <v>11</v>
      </c>
      <c r="Y27" s="3075">
        <v>11</v>
      </c>
      <c r="Z27" s="3075">
        <v>11</v>
      </c>
      <c r="AA27" s="3075">
        <v>11</v>
      </c>
      <c r="AB27" s="3075">
        <v>11</v>
      </c>
      <c r="AC27" s="3075">
        <v>11</v>
      </c>
      <c r="AD27" s="3076">
        <v>11</v>
      </c>
      <c r="AE27" s="3074"/>
      <c r="AF27" s="3075"/>
      <c r="AG27" s="3075"/>
      <c r="AH27" s="3075"/>
      <c r="AI27" s="3075"/>
      <c r="AJ27" s="3075"/>
      <c r="AK27" s="3076"/>
      <c r="AL27" s="3074"/>
      <c r="AM27" s="3075"/>
      <c r="AN27" s="3075"/>
      <c r="AO27" s="3075"/>
      <c r="AP27" s="3075"/>
      <c r="AQ27" s="3075"/>
      <c r="AR27" s="3076"/>
      <c r="AS27" s="3085">
        <f t="shared" si="21"/>
        <v>1084</v>
      </c>
      <c r="AT27" s="3086">
        <f t="shared" si="22"/>
        <v>1104</v>
      </c>
      <c r="AU27" s="3086">
        <f t="shared" si="23"/>
        <v>1167</v>
      </c>
      <c r="AV27" s="3086">
        <f t="shared" si="24"/>
        <v>1197</v>
      </c>
      <c r="AW27" s="3086">
        <f t="shared" si="25"/>
        <v>1266</v>
      </c>
      <c r="AX27" s="3086">
        <f t="shared" si="26"/>
        <v>1513</v>
      </c>
      <c r="AY27" s="3087">
        <f t="shared" si="27"/>
        <v>1545</v>
      </c>
    </row>
    <row r="28" spans="1:52" ht="21" customHeight="1" thickBot="1">
      <c r="A28" s="3090" t="s">
        <v>1399</v>
      </c>
      <c r="B28" s="3105" t="s">
        <v>1226</v>
      </c>
      <c r="C28" s="3092">
        <v>1092</v>
      </c>
      <c r="D28" s="3093">
        <v>1122</v>
      </c>
      <c r="E28" s="3093">
        <v>1165</v>
      </c>
      <c r="F28" s="3093">
        <v>1194</v>
      </c>
      <c r="G28" s="3093">
        <v>1221</v>
      </c>
      <c r="H28" s="3093">
        <v>1464</v>
      </c>
      <c r="I28" s="3094">
        <v>1499</v>
      </c>
      <c r="J28" s="3092">
        <v>77</v>
      </c>
      <c r="K28" s="3093">
        <v>77</v>
      </c>
      <c r="L28" s="3093">
        <v>81</v>
      </c>
      <c r="M28" s="3093">
        <v>85</v>
      </c>
      <c r="N28" s="3093">
        <v>86</v>
      </c>
      <c r="O28" s="3093">
        <v>89</v>
      </c>
      <c r="P28" s="3094">
        <v>91</v>
      </c>
      <c r="Q28" s="3092">
        <v>142</v>
      </c>
      <c r="R28" s="3093">
        <v>142</v>
      </c>
      <c r="S28" s="3093">
        <v>149</v>
      </c>
      <c r="T28" s="3093">
        <v>154</v>
      </c>
      <c r="U28" s="3093">
        <v>157</v>
      </c>
      <c r="V28" s="3093">
        <v>162</v>
      </c>
      <c r="W28" s="3094">
        <v>164</v>
      </c>
      <c r="X28" s="3092">
        <v>18</v>
      </c>
      <c r="Y28" s="3093">
        <v>18</v>
      </c>
      <c r="Z28" s="3093">
        <v>18</v>
      </c>
      <c r="AA28" s="3093">
        <v>18</v>
      </c>
      <c r="AB28" s="3093">
        <v>18</v>
      </c>
      <c r="AC28" s="3093">
        <v>18</v>
      </c>
      <c r="AD28" s="3094">
        <v>18</v>
      </c>
      <c r="AE28" s="3092"/>
      <c r="AF28" s="3093"/>
      <c r="AG28" s="3093"/>
      <c r="AH28" s="3093"/>
      <c r="AI28" s="3093"/>
      <c r="AJ28" s="3093"/>
      <c r="AK28" s="3094"/>
      <c r="AL28" s="3092"/>
      <c r="AM28" s="3093"/>
      <c r="AN28" s="3093"/>
      <c r="AO28" s="3093"/>
      <c r="AP28" s="3093"/>
      <c r="AQ28" s="3093"/>
      <c r="AR28" s="3094"/>
      <c r="AS28" s="3095">
        <f t="shared" si="21"/>
        <v>1329</v>
      </c>
      <c r="AT28" s="3096">
        <f t="shared" si="22"/>
        <v>1359</v>
      </c>
      <c r="AU28" s="3096">
        <f t="shared" si="23"/>
        <v>1413</v>
      </c>
      <c r="AV28" s="3096">
        <f t="shared" si="24"/>
        <v>1451</v>
      </c>
      <c r="AW28" s="3096">
        <f t="shared" si="25"/>
        <v>1482</v>
      </c>
      <c r="AX28" s="3096">
        <f t="shared" si="26"/>
        <v>1733</v>
      </c>
      <c r="AY28" s="3097">
        <f t="shared" si="27"/>
        <v>1772</v>
      </c>
    </row>
    <row r="29" spans="1:52" ht="18" customHeight="1">
      <c r="A29" s="3106" t="s">
        <v>113</v>
      </c>
      <c r="B29" s="3107" t="s">
        <v>1218</v>
      </c>
      <c r="C29" s="3108">
        <f t="shared" ref="C29:AD29" si="28">C15+C18</f>
        <v>4139</v>
      </c>
      <c r="D29" s="3109">
        <f t="shared" si="28"/>
        <v>4231</v>
      </c>
      <c r="E29" s="3109">
        <f t="shared" si="28"/>
        <v>4338</v>
      </c>
      <c r="F29" s="3109">
        <f t="shared" si="28"/>
        <v>4456</v>
      </c>
      <c r="G29" s="3109">
        <f t="shared" si="28"/>
        <v>4609</v>
      </c>
      <c r="H29" s="3109">
        <f t="shared" si="28"/>
        <v>5552</v>
      </c>
      <c r="I29" s="3110">
        <f t="shared" si="28"/>
        <v>5703</v>
      </c>
      <c r="J29" s="3108">
        <f>J15+J18</f>
        <v>316</v>
      </c>
      <c r="K29" s="3109">
        <f t="shared" si="28"/>
        <v>322</v>
      </c>
      <c r="L29" s="3109">
        <f t="shared" si="28"/>
        <v>331.3</v>
      </c>
      <c r="M29" s="3109">
        <f t="shared" si="28"/>
        <v>339.45</v>
      </c>
      <c r="N29" s="3109">
        <f t="shared" si="28"/>
        <v>372</v>
      </c>
      <c r="O29" s="3109">
        <f t="shared" si="28"/>
        <v>451.3</v>
      </c>
      <c r="P29" s="3110">
        <f t="shared" si="28"/>
        <v>461.96</v>
      </c>
      <c r="Q29" s="3108">
        <f t="shared" si="28"/>
        <v>647</v>
      </c>
      <c r="R29" s="3109">
        <f t="shared" si="28"/>
        <v>669</v>
      </c>
      <c r="S29" s="3109">
        <f t="shared" si="28"/>
        <v>678</v>
      </c>
      <c r="T29" s="3109">
        <f t="shared" si="28"/>
        <v>708</v>
      </c>
      <c r="U29" s="3109">
        <f t="shared" si="28"/>
        <v>1002</v>
      </c>
      <c r="V29" s="3109">
        <f t="shared" si="28"/>
        <v>1047</v>
      </c>
      <c r="W29" s="3110">
        <f t="shared" si="28"/>
        <v>1082</v>
      </c>
      <c r="X29" s="3108">
        <f t="shared" si="28"/>
        <v>82</v>
      </c>
      <c r="Y29" s="3109">
        <f t="shared" si="28"/>
        <v>82</v>
      </c>
      <c r="Z29" s="3109">
        <f t="shared" si="28"/>
        <v>92</v>
      </c>
      <c r="AA29" s="3109">
        <f t="shared" si="28"/>
        <v>94</v>
      </c>
      <c r="AB29" s="3109">
        <f t="shared" si="28"/>
        <v>97</v>
      </c>
      <c r="AC29" s="3109">
        <f t="shared" si="28"/>
        <v>99</v>
      </c>
      <c r="AD29" s="3110">
        <f t="shared" si="28"/>
        <v>101</v>
      </c>
      <c r="AE29" s="3108">
        <f t="shared" ref="AE29:AR29" si="29">AE15+AE18</f>
        <v>0</v>
      </c>
      <c r="AF29" s="3109">
        <f t="shared" si="29"/>
        <v>0</v>
      </c>
      <c r="AG29" s="3109">
        <f t="shared" si="29"/>
        <v>0</v>
      </c>
      <c r="AH29" s="3109">
        <f t="shared" si="29"/>
        <v>0</v>
      </c>
      <c r="AI29" s="3109">
        <f t="shared" si="29"/>
        <v>0</v>
      </c>
      <c r="AJ29" s="3109">
        <f t="shared" si="29"/>
        <v>0</v>
      </c>
      <c r="AK29" s="3110">
        <f t="shared" si="29"/>
        <v>0</v>
      </c>
      <c r="AL29" s="3108">
        <f t="shared" si="29"/>
        <v>0</v>
      </c>
      <c r="AM29" s="3109">
        <f t="shared" si="29"/>
        <v>0</v>
      </c>
      <c r="AN29" s="3109">
        <f t="shared" si="29"/>
        <v>0</v>
      </c>
      <c r="AO29" s="3109">
        <f t="shared" si="29"/>
        <v>0</v>
      </c>
      <c r="AP29" s="3109">
        <f t="shared" si="29"/>
        <v>0</v>
      </c>
      <c r="AQ29" s="3109">
        <f t="shared" si="29"/>
        <v>0</v>
      </c>
      <c r="AR29" s="3110">
        <f t="shared" si="29"/>
        <v>0</v>
      </c>
      <c r="AS29" s="3111">
        <f t="shared" ref="AS29:AY31" si="30">C29+J29+Q29+X29+AE29+AL29</f>
        <v>5184</v>
      </c>
      <c r="AT29" s="3112">
        <f t="shared" si="30"/>
        <v>5304</v>
      </c>
      <c r="AU29" s="3112">
        <f t="shared" si="30"/>
        <v>5439.3</v>
      </c>
      <c r="AV29" s="3112">
        <f t="shared" si="30"/>
        <v>5597.45</v>
      </c>
      <c r="AW29" s="3112">
        <f t="shared" si="30"/>
        <v>6080</v>
      </c>
      <c r="AX29" s="3112">
        <f t="shared" si="30"/>
        <v>7149.3</v>
      </c>
      <c r="AY29" s="3113">
        <f t="shared" si="30"/>
        <v>7347.96</v>
      </c>
    </row>
    <row r="30" spans="1:52" ht="18" customHeight="1">
      <c r="A30" s="3088" t="s">
        <v>115</v>
      </c>
      <c r="B30" s="3104" t="s">
        <v>861</v>
      </c>
      <c r="C30" s="3114">
        <f>C16+C19</f>
        <v>858</v>
      </c>
      <c r="D30" s="3115">
        <f t="shared" ref="D30:AD30" si="31">D16+D19</f>
        <v>871</v>
      </c>
      <c r="E30" s="3115">
        <f t="shared" si="31"/>
        <v>901</v>
      </c>
      <c r="F30" s="3115">
        <f t="shared" si="31"/>
        <v>923</v>
      </c>
      <c r="G30" s="3115">
        <f t="shared" si="31"/>
        <v>943</v>
      </c>
      <c r="H30" s="3115">
        <f t="shared" si="31"/>
        <v>1139</v>
      </c>
      <c r="I30" s="3116">
        <f t="shared" si="31"/>
        <v>1165</v>
      </c>
      <c r="J30" s="3114">
        <f t="shared" si="31"/>
        <v>86</v>
      </c>
      <c r="K30" s="3115">
        <f t="shared" si="31"/>
        <v>87</v>
      </c>
      <c r="L30" s="3115">
        <f t="shared" si="31"/>
        <v>90.05</v>
      </c>
      <c r="M30" s="3115">
        <f t="shared" si="31"/>
        <v>92.02</v>
      </c>
      <c r="N30" s="3115">
        <f t="shared" si="31"/>
        <v>99</v>
      </c>
      <c r="O30" s="3115">
        <f t="shared" si="31"/>
        <v>142</v>
      </c>
      <c r="P30" s="3116">
        <f t="shared" si="31"/>
        <v>145</v>
      </c>
      <c r="Q30" s="3114">
        <f t="shared" si="31"/>
        <v>158</v>
      </c>
      <c r="R30" s="3115">
        <f t="shared" si="31"/>
        <v>164</v>
      </c>
      <c r="S30" s="3115">
        <f t="shared" si="31"/>
        <v>166</v>
      </c>
      <c r="T30" s="3115">
        <f t="shared" si="31"/>
        <v>171</v>
      </c>
      <c r="U30" s="3115">
        <f t="shared" si="31"/>
        <v>213</v>
      </c>
      <c r="V30" s="3115">
        <f t="shared" si="31"/>
        <v>221</v>
      </c>
      <c r="W30" s="3116">
        <f t="shared" si="31"/>
        <v>224</v>
      </c>
      <c r="X30" s="3114">
        <f t="shared" si="31"/>
        <v>11</v>
      </c>
      <c r="Y30" s="3115">
        <f t="shared" si="31"/>
        <v>11</v>
      </c>
      <c r="Z30" s="3115">
        <f t="shared" si="31"/>
        <v>11</v>
      </c>
      <c r="AA30" s="3115">
        <f t="shared" si="31"/>
        <v>11</v>
      </c>
      <c r="AB30" s="3115">
        <f t="shared" si="31"/>
        <v>11</v>
      </c>
      <c r="AC30" s="3115">
        <f t="shared" si="31"/>
        <v>11</v>
      </c>
      <c r="AD30" s="3116">
        <f t="shared" si="31"/>
        <v>11</v>
      </c>
      <c r="AE30" s="3114">
        <f t="shared" ref="AE30:AR30" si="32">AE16+AE19</f>
        <v>0</v>
      </c>
      <c r="AF30" s="3115">
        <f>AF16+AF19</f>
        <v>0</v>
      </c>
      <c r="AG30" s="3115">
        <f t="shared" si="32"/>
        <v>0</v>
      </c>
      <c r="AH30" s="3115">
        <f t="shared" si="32"/>
        <v>0</v>
      </c>
      <c r="AI30" s="3115">
        <f t="shared" si="32"/>
        <v>0</v>
      </c>
      <c r="AJ30" s="3115">
        <f t="shared" si="32"/>
        <v>0</v>
      </c>
      <c r="AK30" s="3116">
        <f t="shared" si="32"/>
        <v>0</v>
      </c>
      <c r="AL30" s="3114">
        <f t="shared" si="32"/>
        <v>0</v>
      </c>
      <c r="AM30" s="3115">
        <f t="shared" si="32"/>
        <v>0</v>
      </c>
      <c r="AN30" s="3115">
        <f t="shared" si="32"/>
        <v>0</v>
      </c>
      <c r="AO30" s="3115">
        <f t="shared" si="32"/>
        <v>0</v>
      </c>
      <c r="AP30" s="3115">
        <f t="shared" si="32"/>
        <v>0</v>
      </c>
      <c r="AQ30" s="3115">
        <f t="shared" si="32"/>
        <v>0</v>
      </c>
      <c r="AR30" s="3116">
        <f t="shared" si="32"/>
        <v>0</v>
      </c>
      <c r="AS30" s="3117">
        <f t="shared" si="30"/>
        <v>1113</v>
      </c>
      <c r="AT30" s="3118">
        <f t="shared" si="30"/>
        <v>1133</v>
      </c>
      <c r="AU30" s="3118">
        <f t="shared" si="30"/>
        <v>1168.05</v>
      </c>
      <c r="AV30" s="3118">
        <f t="shared" si="30"/>
        <v>1197.02</v>
      </c>
      <c r="AW30" s="3118">
        <f t="shared" si="30"/>
        <v>1266</v>
      </c>
      <c r="AX30" s="3118">
        <f t="shared" si="30"/>
        <v>1513</v>
      </c>
      <c r="AY30" s="3119">
        <f t="shared" si="30"/>
        <v>1545</v>
      </c>
    </row>
    <row r="31" spans="1:52" ht="18" customHeight="1" thickBot="1">
      <c r="A31" s="3090" t="s">
        <v>116</v>
      </c>
      <c r="B31" s="3105" t="s">
        <v>982</v>
      </c>
      <c r="C31" s="3120">
        <f t="shared" ref="C31:AD31" si="33">C17+C20</f>
        <v>1111</v>
      </c>
      <c r="D31" s="3121">
        <f t="shared" si="33"/>
        <v>1141</v>
      </c>
      <c r="E31" s="3121">
        <f t="shared" si="33"/>
        <v>1165</v>
      </c>
      <c r="F31" s="3121">
        <f t="shared" si="33"/>
        <v>1193.5</v>
      </c>
      <c r="G31" s="3121">
        <f t="shared" si="33"/>
        <v>1221</v>
      </c>
      <c r="H31" s="3121">
        <f t="shared" si="33"/>
        <v>1464</v>
      </c>
      <c r="I31" s="3122">
        <f t="shared" si="33"/>
        <v>1499</v>
      </c>
      <c r="J31" s="3120">
        <f t="shared" si="33"/>
        <v>79</v>
      </c>
      <c r="K31" s="3121">
        <f t="shared" si="33"/>
        <v>79</v>
      </c>
      <c r="L31" s="3121">
        <f t="shared" si="33"/>
        <v>83.1</v>
      </c>
      <c r="M31" s="3121">
        <f t="shared" si="33"/>
        <v>85.04</v>
      </c>
      <c r="N31" s="3121">
        <f t="shared" si="33"/>
        <v>86</v>
      </c>
      <c r="O31" s="3121">
        <f t="shared" si="33"/>
        <v>89</v>
      </c>
      <c r="P31" s="3122">
        <f t="shared" si="33"/>
        <v>91</v>
      </c>
      <c r="Q31" s="3120">
        <f t="shared" si="33"/>
        <v>142</v>
      </c>
      <c r="R31" s="3121">
        <f t="shared" si="33"/>
        <v>142</v>
      </c>
      <c r="S31" s="3121">
        <f t="shared" si="33"/>
        <v>149</v>
      </c>
      <c r="T31" s="3121">
        <f t="shared" si="33"/>
        <v>154</v>
      </c>
      <c r="U31" s="3121">
        <f t="shared" si="33"/>
        <v>157</v>
      </c>
      <c r="V31" s="3121">
        <f t="shared" si="33"/>
        <v>162</v>
      </c>
      <c r="W31" s="3122">
        <f t="shared" si="33"/>
        <v>164</v>
      </c>
      <c r="X31" s="3120">
        <f t="shared" si="33"/>
        <v>18</v>
      </c>
      <c r="Y31" s="3121">
        <f t="shared" si="33"/>
        <v>18</v>
      </c>
      <c r="Z31" s="3121">
        <f t="shared" si="33"/>
        <v>18</v>
      </c>
      <c r="AA31" s="3121">
        <f t="shared" si="33"/>
        <v>18</v>
      </c>
      <c r="AB31" s="3121">
        <f t="shared" si="33"/>
        <v>18</v>
      </c>
      <c r="AC31" s="3121">
        <f t="shared" si="33"/>
        <v>18</v>
      </c>
      <c r="AD31" s="3122">
        <f t="shared" si="33"/>
        <v>18</v>
      </c>
      <c r="AE31" s="3120">
        <f>AE17+AE20</f>
        <v>0</v>
      </c>
      <c r="AF31" s="3121">
        <f t="shared" ref="AF31:AR31" si="34">AF17+AF20</f>
        <v>0</v>
      </c>
      <c r="AG31" s="3121">
        <f t="shared" si="34"/>
        <v>0</v>
      </c>
      <c r="AH31" s="3121">
        <f t="shared" si="34"/>
        <v>0</v>
      </c>
      <c r="AI31" s="3121">
        <f t="shared" si="34"/>
        <v>0</v>
      </c>
      <c r="AJ31" s="3121">
        <f t="shared" si="34"/>
        <v>0</v>
      </c>
      <c r="AK31" s="3122">
        <f t="shared" si="34"/>
        <v>0</v>
      </c>
      <c r="AL31" s="3120">
        <f t="shared" si="34"/>
        <v>0</v>
      </c>
      <c r="AM31" s="3121">
        <f t="shared" si="34"/>
        <v>0</v>
      </c>
      <c r="AN31" s="3121">
        <f t="shared" si="34"/>
        <v>0</v>
      </c>
      <c r="AO31" s="3121">
        <f t="shared" si="34"/>
        <v>0</v>
      </c>
      <c r="AP31" s="3121">
        <f t="shared" si="34"/>
        <v>0</v>
      </c>
      <c r="AQ31" s="3121">
        <f t="shared" si="34"/>
        <v>0</v>
      </c>
      <c r="AR31" s="3122">
        <f t="shared" si="34"/>
        <v>0</v>
      </c>
      <c r="AS31" s="3065">
        <f t="shared" si="30"/>
        <v>1350</v>
      </c>
      <c r="AT31" s="3066">
        <f t="shared" si="30"/>
        <v>1380</v>
      </c>
      <c r="AU31" s="3066">
        <f t="shared" si="30"/>
        <v>1415.1</v>
      </c>
      <c r="AV31" s="3066">
        <f t="shared" si="30"/>
        <v>1450.54</v>
      </c>
      <c r="AW31" s="3066">
        <f t="shared" si="30"/>
        <v>1482</v>
      </c>
      <c r="AX31" s="3066">
        <f t="shared" si="30"/>
        <v>1733</v>
      </c>
      <c r="AY31" s="3067">
        <f t="shared" si="30"/>
        <v>1772</v>
      </c>
    </row>
    <row r="32" spans="1:52" s="3068" customFormat="1" ht="31.5">
      <c r="A32" s="3123" t="s">
        <v>119</v>
      </c>
      <c r="B32" s="3124" t="s">
        <v>862</v>
      </c>
      <c r="C32" s="3125">
        <f t="shared" ref="C32:AY32" si="35">IFERROR(C29/C14,0)</f>
        <v>9.581018518518519</v>
      </c>
      <c r="D32" s="3126">
        <f t="shared" si="35"/>
        <v>9.8395348837209298</v>
      </c>
      <c r="E32" s="3126">
        <f t="shared" si="35"/>
        <v>10.183098591549296</v>
      </c>
      <c r="F32" s="3126">
        <f t="shared" si="35"/>
        <v>10.460093896713616</v>
      </c>
      <c r="G32" s="3126">
        <f t="shared" si="35"/>
        <v>10.571100917431192</v>
      </c>
      <c r="H32" s="3126">
        <f t="shared" si="35"/>
        <v>10.676923076923076</v>
      </c>
      <c r="I32" s="3127">
        <f t="shared" si="35"/>
        <v>11.00965250965251</v>
      </c>
      <c r="J32" s="3125">
        <f t="shared" si="35"/>
        <v>10.533333333333333</v>
      </c>
      <c r="K32" s="3126">
        <f t="shared" si="35"/>
        <v>10.733333333333333</v>
      </c>
      <c r="L32" s="3126">
        <f t="shared" si="35"/>
        <v>11.043333333333333</v>
      </c>
      <c r="M32" s="3126">
        <f t="shared" si="35"/>
        <v>11.315</v>
      </c>
      <c r="N32" s="3126">
        <f t="shared" si="35"/>
        <v>11.625</v>
      </c>
      <c r="O32" s="3126">
        <f t="shared" si="35"/>
        <v>11.876315789473685</v>
      </c>
      <c r="P32" s="3127">
        <f t="shared" si="35"/>
        <v>12.156842105263157</v>
      </c>
      <c r="Q32" s="3125">
        <f t="shared" si="35"/>
        <v>12.94</v>
      </c>
      <c r="R32" s="3126">
        <f t="shared" si="35"/>
        <v>12.865384615384615</v>
      </c>
      <c r="S32" s="3126">
        <f t="shared" si="35"/>
        <v>13.038461538461538</v>
      </c>
      <c r="T32" s="3126">
        <f t="shared" si="35"/>
        <v>13.111111111111111</v>
      </c>
      <c r="U32" s="3126">
        <f t="shared" si="35"/>
        <v>14.112676056338028</v>
      </c>
      <c r="V32" s="3126">
        <f t="shared" si="35"/>
        <v>14.148648648648649</v>
      </c>
      <c r="W32" s="3127">
        <f t="shared" si="35"/>
        <v>14.621621621621621</v>
      </c>
      <c r="X32" s="3125">
        <f t="shared" si="35"/>
        <v>9.1111111111111107</v>
      </c>
      <c r="Y32" s="3126">
        <f t="shared" si="35"/>
        <v>9.1111111111111107</v>
      </c>
      <c r="Z32" s="3126">
        <f t="shared" si="35"/>
        <v>10.222222222222221</v>
      </c>
      <c r="AA32" s="3126">
        <f t="shared" si="35"/>
        <v>10.444444444444445</v>
      </c>
      <c r="AB32" s="3126">
        <f t="shared" si="35"/>
        <v>10.777777777777779</v>
      </c>
      <c r="AC32" s="3126">
        <f t="shared" si="35"/>
        <v>11</v>
      </c>
      <c r="AD32" s="3127">
        <f t="shared" si="35"/>
        <v>11.222222222222221</v>
      </c>
      <c r="AE32" s="3125">
        <f t="shared" ref="AE32:AR32" si="36">IFERROR(AE29/AE14,0)</f>
        <v>0</v>
      </c>
      <c r="AF32" s="3126">
        <f t="shared" si="36"/>
        <v>0</v>
      </c>
      <c r="AG32" s="3126">
        <f t="shared" si="36"/>
        <v>0</v>
      </c>
      <c r="AH32" s="3126">
        <f t="shared" si="36"/>
        <v>0</v>
      </c>
      <c r="AI32" s="3126">
        <f t="shared" si="36"/>
        <v>0</v>
      </c>
      <c r="AJ32" s="3126">
        <f t="shared" si="36"/>
        <v>0</v>
      </c>
      <c r="AK32" s="3127">
        <f t="shared" si="36"/>
        <v>0</v>
      </c>
      <c r="AL32" s="3125">
        <f t="shared" si="36"/>
        <v>0</v>
      </c>
      <c r="AM32" s="3126">
        <f t="shared" si="36"/>
        <v>0</v>
      </c>
      <c r="AN32" s="3126">
        <f t="shared" si="36"/>
        <v>0</v>
      </c>
      <c r="AO32" s="3126">
        <f t="shared" si="36"/>
        <v>0</v>
      </c>
      <c r="AP32" s="3126">
        <f t="shared" si="36"/>
        <v>0</v>
      </c>
      <c r="AQ32" s="3126">
        <f t="shared" si="36"/>
        <v>0</v>
      </c>
      <c r="AR32" s="3127">
        <f t="shared" si="36"/>
        <v>0</v>
      </c>
      <c r="AS32" s="3125">
        <f t="shared" si="35"/>
        <v>9.9500959692898281</v>
      </c>
      <c r="AT32" s="3126">
        <f t="shared" si="35"/>
        <v>10.18042226487524</v>
      </c>
      <c r="AU32" s="3126">
        <f t="shared" si="35"/>
        <v>10.520889748549324</v>
      </c>
      <c r="AV32" s="3126">
        <f t="shared" si="35"/>
        <v>10.785067437379576</v>
      </c>
      <c r="AW32" s="3126">
        <f t="shared" si="35"/>
        <v>11.094890510948906</v>
      </c>
      <c r="AX32" s="3126">
        <f t="shared" si="35"/>
        <v>11.153354134165367</v>
      </c>
      <c r="AY32" s="3127">
        <f t="shared" si="35"/>
        <v>11.499154929577465</v>
      </c>
      <c r="AZ32" s="3128"/>
    </row>
    <row r="33" spans="1:52" ht="31.5">
      <c r="A33" s="3088" t="s">
        <v>124</v>
      </c>
      <c r="B33" s="3129" t="s">
        <v>863</v>
      </c>
      <c r="C33" s="3130">
        <f t="shared" ref="C33:AY33" si="37">IFERROR(C30/C14,0)</f>
        <v>1.9861111111111112</v>
      </c>
      <c r="D33" s="3131">
        <f t="shared" si="37"/>
        <v>2.0255813953488371</v>
      </c>
      <c r="E33" s="3131">
        <f t="shared" si="37"/>
        <v>2.115023474178404</v>
      </c>
      <c r="F33" s="3131">
        <f t="shared" si="37"/>
        <v>2.1666666666666665</v>
      </c>
      <c r="G33" s="3131">
        <f t="shared" si="37"/>
        <v>2.1628440366972477</v>
      </c>
      <c r="H33" s="3131">
        <f t="shared" si="37"/>
        <v>2.1903846153846156</v>
      </c>
      <c r="I33" s="3132">
        <f t="shared" si="37"/>
        <v>2.2490347490347489</v>
      </c>
      <c r="J33" s="3130">
        <f t="shared" si="37"/>
        <v>2.8666666666666667</v>
      </c>
      <c r="K33" s="3131">
        <f t="shared" si="37"/>
        <v>2.9</v>
      </c>
      <c r="L33" s="3131">
        <f t="shared" si="37"/>
        <v>3.0016666666666665</v>
      </c>
      <c r="M33" s="3131">
        <f t="shared" si="37"/>
        <v>3.067333333333333</v>
      </c>
      <c r="N33" s="3131">
        <f t="shared" si="37"/>
        <v>3.09375</v>
      </c>
      <c r="O33" s="3131">
        <f t="shared" si="37"/>
        <v>3.736842105263158</v>
      </c>
      <c r="P33" s="3132">
        <f t="shared" si="37"/>
        <v>3.8157894736842106</v>
      </c>
      <c r="Q33" s="3130">
        <f t="shared" si="37"/>
        <v>3.16</v>
      </c>
      <c r="R33" s="3131">
        <f t="shared" si="37"/>
        <v>3.1538461538461537</v>
      </c>
      <c r="S33" s="3131">
        <f t="shared" si="37"/>
        <v>3.1923076923076925</v>
      </c>
      <c r="T33" s="3131">
        <f t="shared" si="37"/>
        <v>3.1666666666666665</v>
      </c>
      <c r="U33" s="3131">
        <f t="shared" si="37"/>
        <v>3</v>
      </c>
      <c r="V33" s="3131">
        <f t="shared" si="37"/>
        <v>2.9864864864864864</v>
      </c>
      <c r="W33" s="3132">
        <f t="shared" si="37"/>
        <v>3.0270270270270272</v>
      </c>
      <c r="X33" s="3130">
        <f t="shared" si="37"/>
        <v>1.2222222222222223</v>
      </c>
      <c r="Y33" s="3131">
        <f t="shared" si="37"/>
        <v>1.2222222222222223</v>
      </c>
      <c r="Z33" s="3131">
        <f t="shared" si="37"/>
        <v>1.2222222222222223</v>
      </c>
      <c r="AA33" s="3131">
        <f t="shared" si="37"/>
        <v>1.2222222222222223</v>
      </c>
      <c r="AB33" s="3131">
        <f t="shared" si="37"/>
        <v>1.2222222222222223</v>
      </c>
      <c r="AC33" s="3131">
        <f t="shared" si="37"/>
        <v>1.2222222222222223</v>
      </c>
      <c r="AD33" s="3132">
        <f t="shared" si="37"/>
        <v>1.2222222222222223</v>
      </c>
      <c r="AE33" s="3130">
        <f t="shared" ref="AE33:AR33" si="38">IFERROR(AE30/AE14,0)</f>
        <v>0</v>
      </c>
      <c r="AF33" s="3131">
        <f t="shared" si="38"/>
        <v>0</v>
      </c>
      <c r="AG33" s="3131">
        <f t="shared" si="38"/>
        <v>0</v>
      </c>
      <c r="AH33" s="3131">
        <f t="shared" si="38"/>
        <v>0</v>
      </c>
      <c r="AI33" s="3131">
        <f t="shared" si="38"/>
        <v>0</v>
      </c>
      <c r="AJ33" s="3131">
        <f t="shared" si="38"/>
        <v>0</v>
      </c>
      <c r="AK33" s="3132">
        <f t="shared" si="38"/>
        <v>0</v>
      </c>
      <c r="AL33" s="3130">
        <f t="shared" si="38"/>
        <v>0</v>
      </c>
      <c r="AM33" s="3131">
        <f t="shared" si="38"/>
        <v>0</v>
      </c>
      <c r="AN33" s="3131">
        <f t="shared" si="38"/>
        <v>0</v>
      </c>
      <c r="AO33" s="3131">
        <f t="shared" si="38"/>
        <v>0</v>
      </c>
      <c r="AP33" s="3131">
        <f t="shared" si="38"/>
        <v>0</v>
      </c>
      <c r="AQ33" s="3131">
        <f t="shared" si="38"/>
        <v>0</v>
      </c>
      <c r="AR33" s="3132">
        <f t="shared" si="38"/>
        <v>0</v>
      </c>
      <c r="AS33" s="3133">
        <f t="shared" si="37"/>
        <v>2.1362763915547025</v>
      </c>
      <c r="AT33" s="3134">
        <f t="shared" si="37"/>
        <v>2.1746641074856048</v>
      </c>
      <c r="AU33" s="3134">
        <f t="shared" si="37"/>
        <v>2.2592843326885879</v>
      </c>
      <c r="AV33" s="3134">
        <f t="shared" si="37"/>
        <v>2.306396917148362</v>
      </c>
      <c r="AW33" s="3134">
        <f t="shared" si="37"/>
        <v>2.3102189781021898</v>
      </c>
      <c r="AX33" s="3134">
        <f t="shared" si="37"/>
        <v>2.3603744149765991</v>
      </c>
      <c r="AY33" s="3135">
        <f t="shared" si="37"/>
        <v>2.4178403755868545</v>
      </c>
      <c r="AZ33" s="3136"/>
    </row>
    <row r="34" spans="1:52" ht="31.5">
      <c r="A34" s="3088" t="s">
        <v>91</v>
      </c>
      <c r="B34" s="3129" t="s">
        <v>864</v>
      </c>
      <c r="C34" s="3130">
        <f t="shared" ref="C34:AY34" si="39">IFERROR(C31/C14,0)</f>
        <v>2.5717592592592591</v>
      </c>
      <c r="D34" s="3131">
        <f t="shared" si="39"/>
        <v>2.6534883720930234</v>
      </c>
      <c r="E34" s="3131">
        <f t="shared" si="39"/>
        <v>2.7347417840375585</v>
      </c>
      <c r="F34" s="3131">
        <f t="shared" si="39"/>
        <v>2.801643192488263</v>
      </c>
      <c r="G34" s="3131">
        <f t="shared" si="39"/>
        <v>2.8004587155963301</v>
      </c>
      <c r="H34" s="3131">
        <f t="shared" si="39"/>
        <v>2.8153846153846156</v>
      </c>
      <c r="I34" s="3132">
        <f t="shared" si="39"/>
        <v>2.8938223938223939</v>
      </c>
      <c r="J34" s="3130">
        <f t="shared" si="39"/>
        <v>2.6333333333333333</v>
      </c>
      <c r="K34" s="3131">
        <f t="shared" si="39"/>
        <v>2.6333333333333333</v>
      </c>
      <c r="L34" s="3131">
        <f t="shared" si="39"/>
        <v>2.77</v>
      </c>
      <c r="M34" s="3131">
        <f t="shared" si="39"/>
        <v>2.8346666666666667</v>
      </c>
      <c r="N34" s="3131">
        <f t="shared" si="39"/>
        <v>2.6875</v>
      </c>
      <c r="O34" s="3131">
        <f t="shared" si="39"/>
        <v>2.3421052631578947</v>
      </c>
      <c r="P34" s="3132">
        <f t="shared" si="39"/>
        <v>2.3947368421052633</v>
      </c>
      <c r="Q34" s="3130">
        <f t="shared" si="39"/>
        <v>2.84</v>
      </c>
      <c r="R34" s="3131">
        <f t="shared" si="39"/>
        <v>2.7307692307692308</v>
      </c>
      <c r="S34" s="3131">
        <f t="shared" si="39"/>
        <v>2.8653846153846154</v>
      </c>
      <c r="T34" s="3131">
        <f t="shared" si="39"/>
        <v>2.8518518518518516</v>
      </c>
      <c r="U34" s="3131">
        <f t="shared" si="39"/>
        <v>2.211267605633803</v>
      </c>
      <c r="V34" s="3131">
        <f t="shared" si="39"/>
        <v>2.189189189189189</v>
      </c>
      <c r="W34" s="3132">
        <f t="shared" si="39"/>
        <v>2.2162162162162162</v>
      </c>
      <c r="X34" s="3130">
        <f t="shared" si="39"/>
        <v>2</v>
      </c>
      <c r="Y34" s="3131">
        <f t="shared" si="39"/>
        <v>2</v>
      </c>
      <c r="Z34" s="3131">
        <f t="shared" si="39"/>
        <v>2</v>
      </c>
      <c r="AA34" s="3131">
        <f t="shared" si="39"/>
        <v>2</v>
      </c>
      <c r="AB34" s="3131">
        <f t="shared" si="39"/>
        <v>2</v>
      </c>
      <c r="AC34" s="3131">
        <f t="shared" si="39"/>
        <v>2</v>
      </c>
      <c r="AD34" s="3132">
        <f t="shared" si="39"/>
        <v>2</v>
      </c>
      <c r="AE34" s="3130">
        <f t="shared" ref="AE34:AR34" si="40">IFERROR(AE31/AE14,0)</f>
        <v>0</v>
      </c>
      <c r="AF34" s="3131">
        <f t="shared" si="40"/>
        <v>0</v>
      </c>
      <c r="AG34" s="3131">
        <f t="shared" si="40"/>
        <v>0</v>
      </c>
      <c r="AH34" s="3131">
        <f t="shared" si="40"/>
        <v>0</v>
      </c>
      <c r="AI34" s="3131">
        <f t="shared" si="40"/>
        <v>0</v>
      </c>
      <c r="AJ34" s="3131">
        <f t="shared" si="40"/>
        <v>0</v>
      </c>
      <c r="AK34" s="3132">
        <f t="shared" si="40"/>
        <v>0</v>
      </c>
      <c r="AL34" s="3130">
        <f t="shared" si="40"/>
        <v>0</v>
      </c>
      <c r="AM34" s="3131">
        <f t="shared" si="40"/>
        <v>0</v>
      </c>
      <c r="AN34" s="3131">
        <f t="shared" si="40"/>
        <v>0</v>
      </c>
      <c r="AO34" s="3131">
        <f t="shared" si="40"/>
        <v>0</v>
      </c>
      <c r="AP34" s="3131">
        <f t="shared" si="40"/>
        <v>0</v>
      </c>
      <c r="AQ34" s="3131">
        <f t="shared" si="40"/>
        <v>0</v>
      </c>
      <c r="AR34" s="3132">
        <f t="shared" si="40"/>
        <v>0</v>
      </c>
      <c r="AS34" s="3133">
        <f t="shared" si="39"/>
        <v>2.5911708253358925</v>
      </c>
      <c r="AT34" s="3134">
        <f t="shared" si="39"/>
        <v>2.6487523992322455</v>
      </c>
      <c r="AU34" s="3134">
        <f t="shared" si="39"/>
        <v>2.7371373307543521</v>
      </c>
      <c r="AV34" s="3134">
        <f t="shared" si="39"/>
        <v>2.7948747591522158</v>
      </c>
      <c r="AW34" s="3134">
        <f t="shared" si="39"/>
        <v>2.7043795620437958</v>
      </c>
      <c r="AX34" s="3134">
        <f t="shared" si="39"/>
        <v>2.7035881435257409</v>
      </c>
      <c r="AY34" s="3135">
        <f t="shared" si="39"/>
        <v>2.7730829420970267</v>
      </c>
      <c r="AZ34" s="3136"/>
    </row>
    <row r="35" spans="1:52" ht="31.5">
      <c r="A35" s="3088" t="s">
        <v>92</v>
      </c>
      <c r="B35" s="3137" t="s">
        <v>1412</v>
      </c>
      <c r="C35" s="3138">
        <f>IFERROR(C30/C29,0)</f>
        <v>0.20729644841749215</v>
      </c>
      <c r="D35" s="3139">
        <f t="shared" ref="D35:AD35" si="41">IFERROR(D30/D29,0)</f>
        <v>0.20586149846372015</v>
      </c>
      <c r="E35" s="3139">
        <f t="shared" si="41"/>
        <v>0.20769940064545875</v>
      </c>
      <c r="F35" s="3139">
        <f t="shared" si="41"/>
        <v>0.20713644524236985</v>
      </c>
      <c r="G35" s="3139">
        <f t="shared" si="41"/>
        <v>0.20459969624647428</v>
      </c>
      <c r="H35" s="3139">
        <f t="shared" si="41"/>
        <v>0.20515129682997119</v>
      </c>
      <c r="I35" s="3140">
        <f t="shared" si="41"/>
        <v>0.20427844993862879</v>
      </c>
      <c r="J35" s="3138">
        <f t="shared" si="41"/>
        <v>0.27215189873417722</v>
      </c>
      <c r="K35" s="3139">
        <f t="shared" si="41"/>
        <v>0.27018633540372672</v>
      </c>
      <c r="L35" s="3139">
        <f t="shared" si="41"/>
        <v>0.27180802897675821</v>
      </c>
      <c r="M35" s="3139">
        <f t="shared" si="41"/>
        <v>0.27108557961408158</v>
      </c>
      <c r="N35" s="3139">
        <f t="shared" si="41"/>
        <v>0.2661290322580645</v>
      </c>
      <c r="O35" s="3139">
        <f t="shared" si="41"/>
        <v>0.31464657655661421</v>
      </c>
      <c r="P35" s="3140">
        <f t="shared" si="41"/>
        <v>0.31387998960949004</v>
      </c>
      <c r="Q35" s="3138">
        <f t="shared" si="41"/>
        <v>0.24420401854714066</v>
      </c>
      <c r="R35" s="3139">
        <f t="shared" si="41"/>
        <v>0.24514200298953662</v>
      </c>
      <c r="S35" s="3139">
        <f t="shared" si="41"/>
        <v>0.24483775811209441</v>
      </c>
      <c r="T35" s="3139">
        <f t="shared" si="41"/>
        <v>0.24152542372881355</v>
      </c>
      <c r="U35" s="3139">
        <f t="shared" si="41"/>
        <v>0.21257485029940121</v>
      </c>
      <c r="V35" s="3139">
        <f t="shared" si="41"/>
        <v>0.21107927411652341</v>
      </c>
      <c r="W35" s="3140">
        <f t="shared" si="41"/>
        <v>0.20702402957486138</v>
      </c>
      <c r="X35" s="3138">
        <f t="shared" si="41"/>
        <v>0.13414634146341464</v>
      </c>
      <c r="Y35" s="3139">
        <f t="shared" si="41"/>
        <v>0.13414634146341464</v>
      </c>
      <c r="Z35" s="3139">
        <f t="shared" si="41"/>
        <v>0.11956521739130435</v>
      </c>
      <c r="AA35" s="3139">
        <f t="shared" si="41"/>
        <v>0.11702127659574468</v>
      </c>
      <c r="AB35" s="3139">
        <f t="shared" si="41"/>
        <v>0.1134020618556701</v>
      </c>
      <c r="AC35" s="3139">
        <f t="shared" si="41"/>
        <v>0.1111111111111111</v>
      </c>
      <c r="AD35" s="3140">
        <f t="shared" si="41"/>
        <v>0.10891089108910891</v>
      </c>
      <c r="AE35" s="3138">
        <f t="shared" ref="AE35:AR35" si="42">IFERROR(AE30/AE29,0)</f>
        <v>0</v>
      </c>
      <c r="AF35" s="3139">
        <f t="shared" si="42"/>
        <v>0</v>
      </c>
      <c r="AG35" s="3139">
        <f t="shared" si="42"/>
        <v>0</v>
      </c>
      <c r="AH35" s="3139">
        <f t="shared" si="42"/>
        <v>0</v>
      </c>
      <c r="AI35" s="3139">
        <f t="shared" si="42"/>
        <v>0</v>
      </c>
      <c r="AJ35" s="3139">
        <f t="shared" si="42"/>
        <v>0</v>
      </c>
      <c r="AK35" s="3140">
        <f t="shared" si="42"/>
        <v>0</v>
      </c>
      <c r="AL35" s="3138">
        <f t="shared" si="42"/>
        <v>0</v>
      </c>
      <c r="AM35" s="3139">
        <f t="shared" si="42"/>
        <v>0</v>
      </c>
      <c r="AN35" s="3139">
        <f t="shared" si="42"/>
        <v>0</v>
      </c>
      <c r="AO35" s="3139">
        <f t="shared" si="42"/>
        <v>0</v>
      </c>
      <c r="AP35" s="3139">
        <f t="shared" si="42"/>
        <v>0</v>
      </c>
      <c r="AQ35" s="3139">
        <f t="shared" si="42"/>
        <v>0</v>
      </c>
      <c r="AR35" s="3140">
        <f t="shared" si="42"/>
        <v>0</v>
      </c>
      <c r="AS35" s="3138">
        <f t="shared" ref="AS35:AY35" si="43">IFERROR(AS30/AS29,0)</f>
        <v>0.21469907407407407</v>
      </c>
      <c r="AT35" s="3139">
        <f t="shared" si="43"/>
        <v>0.21361236802413272</v>
      </c>
      <c r="AU35" s="3139">
        <f t="shared" si="43"/>
        <v>0.21474270586288674</v>
      </c>
      <c r="AV35" s="3139">
        <f t="shared" si="43"/>
        <v>0.21385094998615442</v>
      </c>
      <c r="AW35" s="3139">
        <f t="shared" si="43"/>
        <v>0.20822368421052631</v>
      </c>
      <c r="AX35" s="3139">
        <f t="shared" si="43"/>
        <v>0.21162911054229086</v>
      </c>
      <c r="AY35" s="3140">
        <f t="shared" si="43"/>
        <v>0.21026244018748061</v>
      </c>
      <c r="AZ35" s="3136"/>
    </row>
    <row r="36" spans="1:52" ht="21" customHeight="1" thickBot="1">
      <c r="A36" s="3090" t="s">
        <v>491</v>
      </c>
      <c r="B36" s="3141" t="s">
        <v>1413</v>
      </c>
      <c r="C36" s="3142">
        <f>IFERROR(C31/C29,0)</f>
        <v>0.26842232423290652</v>
      </c>
      <c r="D36" s="3143">
        <f t="shared" ref="D36:AD36" si="44">IFERROR(D31/D29,0)</f>
        <v>0.26967619948002836</v>
      </c>
      <c r="E36" s="3143">
        <f t="shared" si="44"/>
        <v>0.26855693868142</v>
      </c>
      <c r="F36" s="3143">
        <f t="shared" si="44"/>
        <v>0.26784111310592462</v>
      </c>
      <c r="G36" s="3143">
        <f t="shared" si="44"/>
        <v>0.2649164677804296</v>
      </c>
      <c r="H36" s="3143">
        <f t="shared" si="44"/>
        <v>0.26368876080691644</v>
      </c>
      <c r="I36" s="3144">
        <f t="shared" si="44"/>
        <v>0.26284411713133438</v>
      </c>
      <c r="J36" s="3142">
        <f t="shared" si="44"/>
        <v>0.25</v>
      </c>
      <c r="K36" s="3143">
        <f t="shared" si="44"/>
        <v>0.24534161490683229</v>
      </c>
      <c r="L36" s="3143">
        <f t="shared" si="44"/>
        <v>0.25083006338665859</v>
      </c>
      <c r="M36" s="3143">
        <f t="shared" si="44"/>
        <v>0.25052290469877747</v>
      </c>
      <c r="N36" s="3143">
        <f t="shared" si="44"/>
        <v>0.23118279569892472</v>
      </c>
      <c r="O36" s="3143">
        <f t="shared" si="44"/>
        <v>0.19720806558830045</v>
      </c>
      <c r="P36" s="3144">
        <f t="shared" si="44"/>
        <v>0.19698675209974892</v>
      </c>
      <c r="Q36" s="3142">
        <f t="shared" si="44"/>
        <v>0.21947449768160743</v>
      </c>
      <c r="R36" s="3143">
        <f t="shared" si="44"/>
        <v>0.21225710014947682</v>
      </c>
      <c r="S36" s="3143">
        <f t="shared" si="44"/>
        <v>0.21976401179941002</v>
      </c>
      <c r="T36" s="3143">
        <f t="shared" si="44"/>
        <v>0.2175141242937853</v>
      </c>
      <c r="U36" s="3143">
        <f t="shared" si="44"/>
        <v>0.15668662674650699</v>
      </c>
      <c r="V36" s="3143">
        <f t="shared" si="44"/>
        <v>0.15472779369627507</v>
      </c>
      <c r="W36" s="3144">
        <f t="shared" si="44"/>
        <v>0.15157116451016636</v>
      </c>
      <c r="X36" s="3142">
        <f t="shared" si="44"/>
        <v>0.21951219512195122</v>
      </c>
      <c r="Y36" s="3143">
        <f t="shared" si="44"/>
        <v>0.21951219512195122</v>
      </c>
      <c r="Z36" s="3143">
        <f t="shared" si="44"/>
        <v>0.19565217391304349</v>
      </c>
      <c r="AA36" s="3143">
        <f t="shared" si="44"/>
        <v>0.19148936170212766</v>
      </c>
      <c r="AB36" s="3143">
        <f t="shared" si="44"/>
        <v>0.18556701030927836</v>
      </c>
      <c r="AC36" s="3143">
        <f t="shared" si="44"/>
        <v>0.18181818181818182</v>
      </c>
      <c r="AD36" s="3144">
        <f t="shared" si="44"/>
        <v>0.17821782178217821</v>
      </c>
      <c r="AE36" s="3142">
        <f t="shared" ref="AE36:AR36" si="45">IFERROR(AE31/AE29,0)</f>
        <v>0</v>
      </c>
      <c r="AF36" s="3143">
        <f t="shared" si="45"/>
        <v>0</v>
      </c>
      <c r="AG36" s="3143">
        <f t="shared" si="45"/>
        <v>0</v>
      </c>
      <c r="AH36" s="3143">
        <f t="shared" si="45"/>
        <v>0</v>
      </c>
      <c r="AI36" s="3143">
        <f t="shared" si="45"/>
        <v>0</v>
      </c>
      <c r="AJ36" s="3143">
        <f t="shared" si="45"/>
        <v>0</v>
      </c>
      <c r="AK36" s="3144">
        <f t="shared" si="45"/>
        <v>0</v>
      </c>
      <c r="AL36" s="3142">
        <f t="shared" si="45"/>
        <v>0</v>
      </c>
      <c r="AM36" s="3143">
        <f t="shared" si="45"/>
        <v>0</v>
      </c>
      <c r="AN36" s="3143">
        <f t="shared" si="45"/>
        <v>0</v>
      </c>
      <c r="AO36" s="3143">
        <f t="shared" si="45"/>
        <v>0</v>
      </c>
      <c r="AP36" s="3143">
        <f t="shared" si="45"/>
        <v>0</v>
      </c>
      <c r="AQ36" s="3143">
        <f t="shared" si="45"/>
        <v>0</v>
      </c>
      <c r="AR36" s="3144">
        <f t="shared" si="45"/>
        <v>0</v>
      </c>
      <c r="AS36" s="3142">
        <f t="shared" ref="AS36:AX36" si="46">IFERROR(AS31/AS29,0)</f>
        <v>0.26041666666666669</v>
      </c>
      <c r="AT36" s="3143">
        <f>IFERROR(AT31/AT29,0)</f>
        <v>0.26018099547511314</v>
      </c>
      <c r="AU36" s="3143">
        <f t="shared" si="46"/>
        <v>0.26016215321824498</v>
      </c>
      <c r="AV36" s="3143">
        <f t="shared" si="46"/>
        <v>0.2591430026172632</v>
      </c>
      <c r="AW36" s="3143">
        <f t="shared" si="46"/>
        <v>0.24374999999999999</v>
      </c>
      <c r="AX36" s="3143">
        <f t="shared" si="46"/>
        <v>0.24240135397871121</v>
      </c>
      <c r="AY36" s="3144">
        <f>IFERROR(AY31/AY29,0)</f>
        <v>0.24115536829269621</v>
      </c>
      <c r="AZ36" s="3136"/>
    </row>
    <row r="40" spans="1:52" ht="16.5" customHeight="1"/>
    <row r="41" spans="1:52">
      <c r="AP41" s="3136"/>
      <c r="AQ41" s="3136"/>
      <c r="AR41" s="3136"/>
      <c r="AS41" s="3136"/>
      <c r="AT41" s="3136"/>
      <c r="AU41" s="3136"/>
      <c r="AV41" s="3029"/>
    </row>
    <row r="42" spans="1:52">
      <c r="A42" s="3146"/>
      <c r="B42" s="3026"/>
      <c r="C42" s="3146"/>
      <c r="K42" s="3026"/>
      <c r="L42" s="3026"/>
      <c r="M42" s="3026"/>
      <c r="N42" s="3026"/>
      <c r="O42" s="3026"/>
      <c r="P42" s="3026"/>
      <c r="Q42" s="3026"/>
      <c r="R42" s="3026"/>
      <c r="S42" s="3026"/>
      <c r="T42" s="3026"/>
      <c r="U42" s="3026"/>
      <c r="V42" s="3026"/>
      <c r="W42" s="3026"/>
      <c r="X42" s="3026"/>
      <c r="Y42" s="3026"/>
      <c r="Z42" s="3026"/>
      <c r="AA42" s="3026"/>
      <c r="AB42" s="3026"/>
      <c r="AC42" s="3026"/>
      <c r="AD42" s="3026"/>
      <c r="AE42" s="3026"/>
      <c r="AF42" s="3026"/>
      <c r="AG42" s="3026"/>
      <c r="AH42" s="3026"/>
      <c r="AI42" s="3026"/>
      <c r="AJ42" s="3026"/>
      <c r="AK42" s="3026"/>
      <c r="AL42" s="3026"/>
      <c r="AM42" s="3026"/>
      <c r="AN42" s="3026"/>
      <c r="AO42" s="3026"/>
      <c r="AP42" s="3146"/>
      <c r="AQ42" s="3147"/>
      <c r="AR42" s="3148" t="s">
        <v>114</v>
      </c>
      <c r="AS42" s="3147" t="s">
        <v>4</v>
      </c>
      <c r="AT42" s="3149"/>
      <c r="AU42" s="3146"/>
      <c r="AV42" s="3026"/>
      <c r="AW42" s="3027"/>
      <c r="AX42" s="3027"/>
      <c r="AY42" s="3027"/>
    </row>
    <row r="43" spans="1:52">
      <c r="A43" s="3150"/>
      <c r="B43" s="3151" t="str">
        <f>'Приложение '!B56</f>
        <v>Дата: 27.08.2018 г.</v>
      </c>
      <c r="C43" s="3146"/>
      <c r="K43" s="3026"/>
      <c r="L43" s="3026"/>
      <c r="M43" s="3026"/>
      <c r="N43" s="3026"/>
      <c r="O43" s="3026"/>
      <c r="P43" s="3026"/>
      <c r="Q43" s="3026"/>
      <c r="R43" s="3026"/>
      <c r="S43" s="3026"/>
      <c r="T43" s="3026"/>
      <c r="U43" s="3026"/>
      <c r="V43" s="3026"/>
      <c r="W43" s="3026"/>
      <c r="X43" s="3026"/>
      <c r="Y43" s="3026"/>
      <c r="Z43" s="3026"/>
      <c r="AA43" s="3026"/>
      <c r="AB43" s="3026"/>
      <c r="AC43" s="3026"/>
      <c r="AD43" s="3026"/>
      <c r="AE43" s="3026"/>
      <c r="AF43" s="3026"/>
      <c r="AG43" s="3026"/>
      <c r="AH43" s="3026"/>
      <c r="AI43" s="3026"/>
      <c r="AJ43" s="3026"/>
      <c r="AK43" s="3026"/>
      <c r="AL43" s="3026"/>
      <c r="AM43" s="3026"/>
      <c r="AN43" s="3026"/>
      <c r="AO43" s="3026"/>
      <c r="AP43" s="3146"/>
      <c r="AQ43" s="3149"/>
      <c r="AR43" s="3152"/>
      <c r="AS43" s="3147"/>
      <c r="AT43" s="3153" t="s">
        <v>5</v>
      </c>
      <c r="AU43" s="3146"/>
      <c r="AV43" s="3026"/>
      <c r="AW43" s="3027"/>
      <c r="AX43" s="3027"/>
      <c r="AY43" s="3027"/>
    </row>
    <row r="44" spans="1:52">
      <c r="A44" s="3149"/>
      <c r="B44" s="3154"/>
      <c r="C44" s="3146"/>
      <c r="AP44" s="3146"/>
      <c r="AQ44" s="3146"/>
      <c r="AR44" s="3146"/>
      <c r="AS44" s="3146"/>
      <c r="AT44" s="3146"/>
      <c r="AU44" s="3136"/>
      <c r="AV44" s="3029"/>
    </row>
    <row r="45" spans="1:52">
      <c r="A45" s="3149"/>
      <c r="B45" s="3154"/>
      <c r="C45" s="3146"/>
      <c r="AP45" s="3146"/>
      <c r="AQ45" s="3146"/>
      <c r="AR45" s="3146"/>
      <c r="AS45" s="3146"/>
      <c r="AT45" s="3146"/>
      <c r="AU45" s="3136"/>
      <c r="AV45" s="3029"/>
    </row>
    <row r="46" spans="1:52">
      <c r="A46" s="3149"/>
      <c r="B46" s="3154"/>
      <c r="C46" s="3146"/>
      <c r="AP46" s="3146"/>
      <c r="AQ46" s="3146"/>
      <c r="AR46" s="3148" t="s">
        <v>756</v>
      </c>
      <c r="AS46" s="3147" t="s">
        <v>4</v>
      </c>
      <c r="AT46" s="3149"/>
      <c r="AU46" s="3136"/>
      <c r="AV46" s="3029"/>
    </row>
    <row r="47" spans="1:52">
      <c r="A47" s="3149"/>
      <c r="B47" s="3154"/>
      <c r="C47" s="3146"/>
      <c r="AP47" s="3146"/>
      <c r="AQ47" s="3146"/>
      <c r="AR47" s="3146"/>
      <c r="AS47" s="3146"/>
      <c r="AT47" s="3153" t="s">
        <v>6</v>
      </c>
      <c r="AU47" s="3136"/>
      <c r="AV47" s="3029"/>
    </row>
    <row r="48" spans="1:52">
      <c r="A48" s="3441" t="s">
        <v>247</v>
      </c>
      <c r="B48" s="3441"/>
      <c r="C48" s="2617"/>
      <c r="AP48" s="2617"/>
      <c r="AQ48" s="2617"/>
      <c r="AR48" s="2617"/>
      <c r="AS48" s="2617"/>
      <c r="AT48" s="2617"/>
      <c r="AU48" s="3136"/>
      <c r="AV48" s="3029"/>
    </row>
    <row r="49" spans="1:21">
      <c r="A49" s="3442" t="s">
        <v>248</v>
      </c>
      <c r="B49" s="3442"/>
      <c r="C49" s="3155"/>
      <c r="D49" s="3156"/>
      <c r="E49" s="3155"/>
      <c r="F49" s="3155"/>
      <c r="G49" s="3155"/>
      <c r="H49" s="3155"/>
    </row>
    <row r="50" spans="1:21" ht="32.25" customHeight="1">
      <c r="A50" s="3428" t="s">
        <v>1550</v>
      </c>
      <c r="B50" s="3428"/>
      <c r="C50" s="3428"/>
      <c r="D50" s="3428"/>
      <c r="E50" s="3428"/>
      <c r="F50" s="3428"/>
      <c r="G50" s="3428"/>
      <c r="H50" s="3428"/>
      <c r="I50" s="3428"/>
      <c r="J50" s="3428"/>
      <c r="K50" s="3428"/>
      <c r="L50" s="3428"/>
      <c r="M50" s="3428"/>
      <c r="N50" s="3428"/>
      <c r="O50" s="3428"/>
      <c r="P50" s="3428"/>
      <c r="Q50" s="3428"/>
      <c r="R50" s="3428"/>
      <c r="S50" s="3428"/>
      <c r="T50" s="3428"/>
      <c r="U50" s="3428"/>
    </row>
  </sheetData>
  <sheetProtection password="C6DB" sheet="1" objects="1" scenarios="1" formatCells="0" formatColumns="0" formatRows="0"/>
  <mergeCells count="18">
    <mergeCell ref="A50:U50"/>
    <mergeCell ref="AS7:AY8"/>
    <mergeCell ref="AE7:AK8"/>
    <mergeCell ref="AL7:AR8"/>
    <mergeCell ref="A48:B48"/>
    <mergeCell ref="A49:B49"/>
    <mergeCell ref="A7:A9"/>
    <mergeCell ref="B7:B9"/>
    <mergeCell ref="C7:W7"/>
    <mergeCell ref="X7:AD8"/>
    <mergeCell ref="C8:I8"/>
    <mergeCell ref="J8:P8"/>
    <mergeCell ref="Q8:W8"/>
    <mergeCell ref="A2:AD2"/>
    <mergeCell ref="A3:AD3"/>
    <mergeCell ref="A4:AD4"/>
    <mergeCell ref="A5:AD5"/>
    <mergeCell ref="A6:AD6"/>
  </mergeCells>
  <printOptions horizontalCentered="1"/>
  <pageMargins left="0.70866141732283472" right="0.70866141732283472" top="0.82677165354330717" bottom="0.74803149606299213" header="0.31496062992125984" footer="0.31496062992125984"/>
  <pageSetup paperSize="9" scale="37" orientation="landscape" r:id="rId1"/>
  <headerFooter>
    <oddFooter>&amp;A&amp;RPage &amp;P</oddFooter>
  </headerFooter>
  <colBreaks count="1" manualBreakCount="1">
    <brk id="30" max="49"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CC"/>
  </sheetPr>
  <dimension ref="A1:DA82"/>
  <sheetViews>
    <sheetView view="pageBreakPreview" topLeftCell="A13" zoomScaleNormal="85" zoomScaleSheetLayoutView="100" workbookViewId="0">
      <selection activeCell="H34" sqref="H34"/>
    </sheetView>
  </sheetViews>
  <sheetFormatPr defaultRowHeight="12.75"/>
  <cols>
    <col min="1" max="1" width="8.42578125" style="1492" customWidth="1"/>
    <col min="2" max="2" width="35.85546875" style="1492" customWidth="1"/>
    <col min="3" max="9" width="9.7109375" style="1491" customWidth="1"/>
    <col min="10" max="16" width="8.5703125" style="1491" customWidth="1"/>
    <col min="17" max="23" width="8.28515625" style="1491" customWidth="1"/>
    <col min="24" max="28" width="9.140625" style="1491"/>
    <col min="29" max="16384" width="9.140625" style="1492"/>
  </cols>
  <sheetData>
    <row r="1" spans="1:105" ht="15">
      <c r="A1" s="159"/>
      <c r="B1" s="159"/>
      <c r="C1" s="539"/>
      <c r="D1" s="539"/>
      <c r="E1" s="539"/>
      <c r="F1" s="539"/>
      <c r="G1" s="539"/>
      <c r="H1" s="539"/>
      <c r="I1" s="539"/>
      <c r="J1" s="539"/>
      <c r="K1" s="539"/>
      <c r="L1" s="539"/>
      <c r="M1" s="539"/>
      <c r="N1" s="539"/>
      <c r="O1" s="539"/>
      <c r="P1" s="539"/>
      <c r="Q1" s="539"/>
      <c r="R1" s="539"/>
      <c r="S1" s="539"/>
      <c r="T1" s="539"/>
      <c r="U1" s="539"/>
      <c r="V1" s="538" t="s">
        <v>1509</v>
      </c>
      <c r="W1" s="1492"/>
    </row>
    <row r="2" spans="1:105" s="1493" customFormat="1" ht="47.25" customHeight="1">
      <c r="A2" s="3460" t="s">
        <v>1410</v>
      </c>
      <c r="B2" s="3460"/>
      <c r="C2" s="3460"/>
      <c r="D2" s="3460"/>
      <c r="E2" s="3460"/>
      <c r="F2" s="3460"/>
      <c r="G2" s="3460"/>
      <c r="H2" s="3460"/>
      <c r="I2" s="3460"/>
      <c r="J2" s="3460"/>
      <c r="K2" s="3460"/>
      <c r="L2" s="3460"/>
      <c r="M2" s="3460"/>
      <c r="N2" s="3460"/>
      <c r="O2" s="3460"/>
      <c r="P2" s="3460"/>
      <c r="Q2" s="3460"/>
      <c r="R2" s="3460"/>
      <c r="S2" s="3460"/>
      <c r="T2" s="3460"/>
      <c r="U2" s="3460"/>
      <c r="V2" s="3460"/>
      <c r="W2" s="3460"/>
      <c r="X2" s="1491"/>
      <c r="Y2" s="1491"/>
      <c r="Z2" s="1491"/>
      <c r="AA2" s="1491"/>
      <c r="AB2" s="1491"/>
      <c r="AC2" s="1492"/>
      <c r="AD2" s="1492"/>
      <c r="AE2" s="1492"/>
      <c r="AF2" s="1492"/>
      <c r="AG2" s="1492"/>
      <c r="AH2" s="1492"/>
      <c r="AI2" s="1492"/>
      <c r="AJ2" s="1492"/>
      <c r="AK2" s="1492"/>
      <c r="AL2" s="1492"/>
      <c r="AM2" s="1492"/>
      <c r="AN2" s="1492"/>
      <c r="AO2" s="1492"/>
      <c r="AP2" s="1492"/>
      <c r="AQ2" s="1492"/>
      <c r="AR2" s="1492"/>
      <c r="AS2" s="1492"/>
      <c r="AT2" s="1492"/>
      <c r="AU2" s="1492"/>
      <c r="AV2" s="1492"/>
      <c r="AW2" s="1492"/>
      <c r="AX2" s="1492"/>
      <c r="AY2" s="1492"/>
      <c r="AZ2" s="1492"/>
      <c r="BA2" s="1492"/>
      <c r="BB2" s="1492"/>
      <c r="BC2" s="1492"/>
      <c r="BD2" s="1492"/>
      <c r="BE2" s="1492"/>
      <c r="BF2" s="1492"/>
      <c r="BG2" s="1492"/>
      <c r="BH2" s="1492"/>
      <c r="BI2" s="1492"/>
      <c r="BJ2" s="1492"/>
      <c r="BK2" s="1492"/>
      <c r="BL2" s="1492"/>
      <c r="BM2" s="1492"/>
      <c r="BN2" s="1492"/>
      <c r="BO2" s="1492"/>
      <c r="BP2" s="1492"/>
      <c r="BQ2" s="1492"/>
      <c r="BR2" s="1492"/>
      <c r="BS2" s="1492"/>
      <c r="BT2" s="1492"/>
      <c r="BU2" s="1492"/>
      <c r="BV2" s="1492"/>
      <c r="BW2" s="1492"/>
      <c r="BX2" s="1492"/>
      <c r="BY2" s="1492"/>
      <c r="BZ2" s="1492"/>
      <c r="CA2" s="1492"/>
      <c r="CB2" s="1492"/>
      <c r="CC2" s="1492"/>
      <c r="CD2" s="1492"/>
      <c r="CE2" s="1492"/>
      <c r="CF2" s="1492"/>
      <c r="CG2" s="1492"/>
      <c r="CH2" s="1492"/>
      <c r="CI2" s="1492"/>
      <c r="CJ2" s="1492"/>
      <c r="CK2" s="1492"/>
      <c r="CL2" s="1492"/>
      <c r="CM2" s="1492"/>
      <c r="CN2" s="1492"/>
      <c r="CO2" s="1492"/>
      <c r="CP2" s="1492"/>
      <c r="CQ2" s="1492"/>
      <c r="CR2" s="1492"/>
      <c r="CS2" s="1492"/>
      <c r="CT2" s="1492"/>
      <c r="CU2" s="1492"/>
      <c r="CV2" s="1492"/>
      <c r="CW2" s="1492"/>
      <c r="CX2" s="1492"/>
      <c r="CY2" s="1492"/>
      <c r="CZ2" s="1492"/>
      <c r="DA2" s="1492"/>
    </row>
    <row r="3" spans="1:105" s="1493" customFormat="1" ht="14.25" customHeight="1">
      <c r="A3" s="3461" t="str">
        <f>'1. Анкетна карта'!A3</f>
        <v>на "Водоснабдяване и канализация" ЕООД , гр. Благоевград</v>
      </c>
      <c r="B3" s="3461"/>
      <c r="C3" s="3461"/>
      <c r="D3" s="3461"/>
      <c r="E3" s="3461"/>
      <c r="F3" s="3461"/>
      <c r="G3" s="3461"/>
      <c r="H3" s="3461"/>
      <c r="I3" s="3461"/>
      <c r="J3" s="3461"/>
      <c r="K3" s="3461"/>
      <c r="L3" s="3461"/>
      <c r="M3" s="3461"/>
      <c r="N3" s="3461"/>
      <c r="O3" s="3461"/>
      <c r="P3" s="3461"/>
      <c r="Q3" s="3461"/>
      <c r="R3" s="3461"/>
      <c r="S3" s="3461"/>
      <c r="T3" s="3461"/>
      <c r="U3" s="3461"/>
      <c r="V3" s="3461"/>
      <c r="W3" s="3461"/>
      <c r="X3" s="1494"/>
      <c r="Y3" s="1494"/>
      <c r="Z3" s="1494"/>
      <c r="AA3" s="1494"/>
      <c r="AB3" s="1494"/>
    </row>
    <row r="4" spans="1:105" s="1493" customFormat="1" ht="14.25" customHeight="1">
      <c r="A4" s="3461" t="str">
        <f>'1. Анкетна карта'!A4</f>
        <v>ЕИК по БУЛСТАТ: 811047831</v>
      </c>
      <c r="B4" s="3461"/>
      <c r="C4" s="3461"/>
      <c r="D4" s="3461"/>
      <c r="E4" s="3461"/>
      <c r="F4" s="3461"/>
      <c r="G4" s="3461"/>
      <c r="H4" s="3461"/>
      <c r="I4" s="3461"/>
      <c r="J4" s="3461"/>
      <c r="K4" s="3461"/>
      <c r="L4" s="3461"/>
      <c r="M4" s="3461"/>
      <c r="N4" s="3461"/>
      <c r="O4" s="3461"/>
      <c r="P4" s="3461"/>
      <c r="Q4" s="3461"/>
      <c r="R4" s="3461"/>
      <c r="S4" s="3461"/>
      <c r="T4" s="3461"/>
      <c r="U4" s="3461"/>
      <c r="V4" s="3461"/>
      <c r="W4" s="3461"/>
      <c r="X4" s="1494"/>
      <c r="Y4" s="1494"/>
      <c r="Z4" s="1494"/>
      <c r="AA4" s="1494"/>
      <c r="AB4" s="1494"/>
    </row>
    <row r="5" spans="1:105" s="1493" customFormat="1" ht="15">
      <c r="A5" s="1495"/>
      <c r="B5" s="1495"/>
      <c r="C5" s="1496"/>
      <c r="D5" s="1496"/>
      <c r="E5" s="1496"/>
      <c r="F5" s="1496"/>
      <c r="G5" s="1496"/>
      <c r="H5" s="1496"/>
      <c r="I5" s="1496"/>
      <c r="J5" s="1496"/>
      <c r="K5" s="1496"/>
      <c r="L5" s="1496"/>
      <c r="M5" s="1496"/>
      <c r="N5" s="1496"/>
      <c r="O5" s="1496"/>
      <c r="P5" s="539"/>
      <c r="Q5" s="539"/>
      <c r="R5" s="539"/>
      <c r="S5" s="539"/>
      <c r="T5" s="539"/>
      <c r="U5" s="539"/>
      <c r="V5" s="3459"/>
      <c r="W5" s="3459"/>
      <c r="X5" s="1491"/>
      <c r="Y5" s="1491"/>
      <c r="Z5" s="1491"/>
      <c r="AA5" s="1491"/>
      <c r="AB5" s="1491"/>
      <c r="AC5" s="1492"/>
      <c r="AD5" s="1492"/>
      <c r="AE5" s="1492"/>
      <c r="AF5" s="1492"/>
      <c r="AG5" s="1492"/>
      <c r="AH5" s="1492"/>
      <c r="AI5" s="1492"/>
      <c r="AJ5" s="1492"/>
      <c r="AK5" s="1492"/>
      <c r="AL5" s="1492"/>
      <c r="AM5" s="1492"/>
      <c r="AN5" s="1492"/>
      <c r="AO5" s="1492"/>
      <c r="AP5" s="1492"/>
      <c r="AQ5" s="1492"/>
      <c r="AR5" s="1492"/>
      <c r="AS5" s="1492"/>
      <c r="AT5" s="1492"/>
      <c r="AU5" s="1492"/>
      <c r="AV5" s="1492"/>
      <c r="AW5" s="1492"/>
      <c r="AX5" s="1492"/>
      <c r="AY5" s="1492"/>
      <c r="AZ5" s="1492"/>
      <c r="BA5" s="1492"/>
      <c r="BB5" s="1492"/>
      <c r="BC5" s="1492"/>
      <c r="BD5" s="1492"/>
      <c r="BE5" s="1492"/>
      <c r="BF5" s="1492"/>
      <c r="BG5" s="1492"/>
      <c r="BH5" s="1492"/>
      <c r="BI5" s="1492"/>
      <c r="BJ5" s="1492"/>
      <c r="BK5" s="1492"/>
      <c r="BL5" s="1492"/>
      <c r="BM5" s="1492"/>
      <c r="BN5" s="1492"/>
      <c r="BO5" s="1492"/>
      <c r="BP5" s="1492"/>
      <c r="BQ5" s="1492"/>
      <c r="BR5" s="1492"/>
      <c r="BS5" s="1492"/>
      <c r="BT5" s="1492"/>
      <c r="BU5" s="1492"/>
      <c r="BV5" s="1492"/>
      <c r="BW5" s="1492"/>
      <c r="BX5" s="1492"/>
      <c r="BY5" s="1492"/>
      <c r="BZ5" s="1492"/>
      <c r="CA5" s="1492"/>
      <c r="CB5" s="1492"/>
      <c r="CC5" s="1492"/>
      <c r="CD5" s="1492"/>
      <c r="CE5" s="1492"/>
      <c r="CF5" s="1492"/>
      <c r="CG5" s="1492"/>
      <c r="CH5" s="1492"/>
      <c r="CI5" s="1492"/>
      <c r="CJ5" s="1492"/>
      <c r="CK5" s="1492"/>
      <c r="CL5" s="1492"/>
      <c r="CM5" s="1492"/>
      <c r="CN5" s="1492"/>
      <c r="CO5" s="1492"/>
      <c r="CP5" s="1492"/>
      <c r="CQ5" s="1492"/>
      <c r="CR5" s="1492"/>
      <c r="CS5" s="1492"/>
      <c r="CT5" s="1492"/>
      <c r="CU5" s="1492"/>
      <c r="CV5" s="1492"/>
      <c r="CW5" s="1492"/>
      <c r="CX5" s="1492"/>
      <c r="CY5" s="1492"/>
      <c r="CZ5" s="1492"/>
      <c r="DA5" s="1492"/>
    </row>
    <row r="6" spans="1:105" s="1493" customFormat="1" ht="23.25" customHeight="1">
      <c r="A6" s="3456" t="s">
        <v>1</v>
      </c>
      <c r="B6" s="3456" t="s">
        <v>502</v>
      </c>
      <c r="C6" s="3456" t="s">
        <v>270</v>
      </c>
      <c r="D6" s="3456"/>
      <c r="E6" s="3456"/>
      <c r="F6" s="3456"/>
      <c r="G6" s="3456"/>
      <c r="H6" s="3456"/>
      <c r="I6" s="3456"/>
      <c r="J6" s="3456"/>
      <c r="K6" s="3456"/>
      <c r="L6" s="3456"/>
      <c r="M6" s="3456"/>
      <c r="N6" s="3456"/>
      <c r="O6" s="3456"/>
      <c r="P6" s="3456"/>
      <c r="Q6" s="3456"/>
      <c r="R6" s="3456"/>
      <c r="S6" s="3456"/>
      <c r="T6" s="3456"/>
      <c r="U6" s="3456"/>
      <c r="V6" s="3456"/>
      <c r="W6" s="3456"/>
      <c r="X6" s="1491"/>
      <c r="Y6" s="1491"/>
      <c r="Z6" s="1491"/>
      <c r="AA6" s="1491"/>
      <c r="AB6" s="1491"/>
      <c r="AC6" s="1492"/>
      <c r="AD6" s="1492"/>
      <c r="AE6" s="1492"/>
      <c r="AF6" s="1492"/>
      <c r="AG6" s="1492"/>
      <c r="AH6" s="1492"/>
      <c r="AI6" s="1492"/>
      <c r="AJ6" s="1492"/>
      <c r="AK6" s="1492"/>
      <c r="AL6" s="1492"/>
      <c r="AM6" s="1492"/>
      <c r="AN6" s="1492"/>
      <c r="AO6" s="1492"/>
      <c r="AP6" s="1492"/>
      <c r="AQ6" s="1492"/>
      <c r="AR6" s="1492"/>
      <c r="AS6" s="1492"/>
      <c r="AT6" s="1492"/>
      <c r="AU6" s="1492"/>
      <c r="AV6" s="1492"/>
      <c r="AW6" s="1492"/>
      <c r="AX6" s="1492"/>
      <c r="AY6" s="1492"/>
      <c r="AZ6" s="1492"/>
      <c r="BA6" s="1492"/>
      <c r="BB6" s="1492"/>
      <c r="BC6" s="1492"/>
      <c r="BD6" s="1492"/>
      <c r="BE6" s="1492"/>
      <c r="BF6" s="1492"/>
      <c r="BG6" s="1492"/>
      <c r="BH6" s="1492"/>
      <c r="BI6" s="1492"/>
      <c r="BJ6" s="1492"/>
      <c r="BK6" s="1492"/>
      <c r="BL6" s="1492"/>
      <c r="BM6" s="1492"/>
      <c r="BN6" s="1492"/>
      <c r="BO6" s="1492"/>
      <c r="BP6" s="1492"/>
      <c r="BQ6" s="1492"/>
      <c r="BR6" s="1492"/>
      <c r="BS6" s="1492"/>
      <c r="BT6" s="1492"/>
      <c r="BU6" s="1492"/>
      <c r="BV6" s="1492"/>
      <c r="BW6" s="1492"/>
      <c r="BX6" s="1492"/>
      <c r="BY6" s="1492"/>
      <c r="BZ6" s="1492"/>
      <c r="CA6" s="1492"/>
      <c r="CB6" s="1492"/>
      <c r="CC6" s="1492"/>
      <c r="CD6" s="1492"/>
      <c r="CE6" s="1492"/>
      <c r="CF6" s="1492"/>
      <c r="CG6" s="1492"/>
      <c r="CH6" s="1492"/>
      <c r="CI6" s="1492"/>
      <c r="CJ6" s="1492"/>
      <c r="CK6" s="1492"/>
      <c r="CL6" s="1492"/>
      <c r="CM6" s="1492"/>
      <c r="CN6" s="1492"/>
      <c r="CO6" s="1492"/>
      <c r="CP6" s="1492"/>
      <c r="CQ6" s="1492"/>
      <c r="CR6" s="1492"/>
      <c r="CS6" s="1492"/>
      <c r="CT6" s="1492"/>
      <c r="CU6" s="1492"/>
      <c r="CV6" s="1492"/>
      <c r="CW6" s="1492"/>
      <c r="CX6" s="1492"/>
      <c r="CY6" s="1492"/>
      <c r="CZ6" s="1492"/>
      <c r="DA6" s="1492"/>
    </row>
    <row r="7" spans="1:105" s="1493" customFormat="1" ht="23.25" customHeight="1">
      <c r="A7" s="3457"/>
      <c r="B7" s="3457"/>
      <c r="C7" s="3458" t="s">
        <v>503</v>
      </c>
      <c r="D7" s="3458"/>
      <c r="E7" s="3458"/>
      <c r="F7" s="3458"/>
      <c r="G7" s="3458"/>
      <c r="H7" s="3458"/>
      <c r="I7" s="3458"/>
      <c r="J7" s="3458" t="s">
        <v>1186</v>
      </c>
      <c r="K7" s="3458"/>
      <c r="L7" s="3458"/>
      <c r="M7" s="3458"/>
      <c r="N7" s="3458"/>
      <c r="O7" s="3458"/>
      <c r="P7" s="3458"/>
      <c r="Q7" s="3458" t="s">
        <v>1187</v>
      </c>
      <c r="R7" s="3458"/>
      <c r="S7" s="3458"/>
      <c r="T7" s="3458"/>
      <c r="U7" s="3458"/>
      <c r="V7" s="3458"/>
      <c r="W7" s="3458"/>
      <c r="X7" s="1491"/>
      <c r="Y7" s="1491"/>
      <c r="Z7" s="1491"/>
      <c r="AA7" s="1491"/>
      <c r="AB7" s="1491"/>
      <c r="AC7" s="1492"/>
      <c r="AD7" s="1492"/>
      <c r="AE7" s="1492"/>
      <c r="AF7" s="1492"/>
      <c r="AG7" s="1492"/>
      <c r="AH7" s="1492"/>
      <c r="AI7" s="1492"/>
      <c r="AJ7" s="1492"/>
      <c r="AK7" s="1492"/>
      <c r="AL7" s="1492"/>
      <c r="AM7" s="1492"/>
      <c r="AN7" s="1492"/>
      <c r="AO7" s="1492"/>
      <c r="AP7" s="1492"/>
      <c r="AQ7" s="1492"/>
      <c r="AR7" s="1492"/>
      <c r="AS7" s="1492"/>
      <c r="AT7" s="1492"/>
      <c r="AU7" s="1492"/>
      <c r="AV7" s="1492"/>
      <c r="AW7" s="1492"/>
      <c r="AX7" s="1492"/>
      <c r="AY7" s="1492"/>
      <c r="AZ7" s="1492"/>
      <c r="BA7" s="1492"/>
      <c r="BB7" s="1492"/>
      <c r="BC7" s="1492"/>
      <c r="BD7" s="1492"/>
      <c r="BE7" s="1492"/>
      <c r="BF7" s="1492"/>
      <c r="BG7" s="1492"/>
      <c r="BH7" s="1492"/>
      <c r="BI7" s="1492"/>
      <c r="BJ7" s="1492"/>
      <c r="BK7" s="1492"/>
      <c r="BL7" s="1492"/>
      <c r="BM7" s="1492"/>
      <c r="BN7" s="1492"/>
      <c r="BO7" s="1492"/>
      <c r="BP7" s="1492"/>
      <c r="BQ7" s="1492"/>
      <c r="BR7" s="1492"/>
      <c r="BS7" s="1492"/>
      <c r="BT7" s="1492"/>
      <c r="BU7" s="1492"/>
      <c r="BV7" s="1492"/>
      <c r="BW7" s="1492"/>
      <c r="BX7" s="1492"/>
      <c r="BY7" s="1492"/>
      <c r="BZ7" s="1492"/>
      <c r="CA7" s="1492"/>
      <c r="CB7" s="1492"/>
      <c r="CC7" s="1492"/>
      <c r="CD7" s="1492"/>
      <c r="CE7" s="1492"/>
      <c r="CF7" s="1492"/>
      <c r="CG7" s="1492"/>
      <c r="CH7" s="1492"/>
      <c r="CI7" s="1492"/>
      <c r="CJ7" s="1492"/>
      <c r="CK7" s="1492"/>
      <c r="CL7" s="1492"/>
      <c r="CM7" s="1492"/>
      <c r="CN7" s="1492"/>
      <c r="CO7" s="1492"/>
      <c r="CP7" s="1492"/>
      <c r="CQ7" s="1492"/>
      <c r="CR7" s="1492"/>
      <c r="CS7" s="1492"/>
      <c r="CT7" s="1492"/>
      <c r="CU7" s="1492"/>
      <c r="CV7" s="1492"/>
      <c r="CW7" s="1492"/>
      <c r="CX7" s="1492"/>
      <c r="CY7" s="1492"/>
      <c r="CZ7" s="1492"/>
      <c r="DA7" s="1492"/>
    </row>
    <row r="8" spans="1:105" s="1493" customFormat="1" ht="23.25" customHeight="1">
      <c r="A8" s="3457"/>
      <c r="B8" s="3457"/>
      <c r="C8" s="1497" t="str">
        <f>'Приложение '!G12</f>
        <v>2015 г.</v>
      </c>
      <c r="D8" s="1497" t="str">
        <f>'Приложение '!$G13</f>
        <v>2016 г.</v>
      </c>
      <c r="E8" s="1497" t="str">
        <f>'Приложение '!$G14</f>
        <v>2017 г.</v>
      </c>
      <c r="F8" s="1497" t="str">
        <f>'Приложение '!$G15</f>
        <v>2018 г.</v>
      </c>
      <c r="G8" s="1497" t="str">
        <f>'Приложение '!$G16</f>
        <v>2019 г.</v>
      </c>
      <c r="H8" s="1497" t="str">
        <f>'Приложение '!$G17</f>
        <v>2020 г.</v>
      </c>
      <c r="I8" s="1497" t="str">
        <f>'Приложение '!$G18</f>
        <v>2021 г.</v>
      </c>
      <c r="J8" s="1497" t="str">
        <f>C8</f>
        <v>2015 г.</v>
      </c>
      <c r="K8" s="1497" t="str">
        <f t="shared" ref="K8:W8" si="0">D8</f>
        <v>2016 г.</v>
      </c>
      <c r="L8" s="1497" t="str">
        <f t="shared" si="0"/>
        <v>2017 г.</v>
      </c>
      <c r="M8" s="1497" t="str">
        <f t="shared" si="0"/>
        <v>2018 г.</v>
      </c>
      <c r="N8" s="1497" t="str">
        <f t="shared" si="0"/>
        <v>2019 г.</v>
      </c>
      <c r="O8" s="1497" t="str">
        <f t="shared" si="0"/>
        <v>2020 г.</v>
      </c>
      <c r="P8" s="1497" t="str">
        <f t="shared" si="0"/>
        <v>2021 г.</v>
      </c>
      <c r="Q8" s="1497" t="str">
        <f t="shared" si="0"/>
        <v>2015 г.</v>
      </c>
      <c r="R8" s="1497" t="str">
        <f t="shared" si="0"/>
        <v>2016 г.</v>
      </c>
      <c r="S8" s="1497" t="str">
        <f t="shared" si="0"/>
        <v>2017 г.</v>
      </c>
      <c r="T8" s="1497" t="str">
        <f t="shared" si="0"/>
        <v>2018 г.</v>
      </c>
      <c r="U8" s="1497" t="str">
        <f t="shared" si="0"/>
        <v>2019 г.</v>
      </c>
      <c r="V8" s="1497" t="str">
        <f t="shared" si="0"/>
        <v>2020 г.</v>
      </c>
      <c r="W8" s="1497" t="str">
        <f t="shared" si="0"/>
        <v>2021 г.</v>
      </c>
      <c r="X8" s="1491"/>
      <c r="Y8" s="1491"/>
      <c r="Z8" s="1491"/>
      <c r="AA8" s="1491"/>
      <c r="AB8" s="1491"/>
      <c r="AC8" s="1492"/>
      <c r="AD8" s="1492"/>
      <c r="AE8" s="1492"/>
      <c r="AF8" s="1492"/>
      <c r="AG8" s="1492"/>
      <c r="AH8" s="1492"/>
      <c r="AI8" s="1492"/>
      <c r="AJ8" s="1492"/>
      <c r="AK8" s="1492"/>
      <c r="AL8" s="1492"/>
      <c r="AM8" s="1492"/>
      <c r="AN8" s="1492"/>
      <c r="AO8" s="1492"/>
      <c r="AP8" s="1492"/>
      <c r="AQ8" s="1492"/>
      <c r="AR8" s="1492"/>
      <c r="AS8" s="1492"/>
      <c r="AT8" s="1492"/>
      <c r="AU8" s="1492"/>
      <c r="AV8" s="1492"/>
      <c r="AW8" s="1492"/>
      <c r="AX8" s="1492"/>
      <c r="AY8" s="1492"/>
      <c r="AZ8" s="1492"/>
      <c r="BA8" s="1492"/>
      <c r="BB8" s="1492"/>
      <c r="BC8" s="1492"/>
      <c r="BD8" s="1492"/>
      <c r="BE8" s="1492"/>
      <c r="BF8" s="1492"/>
      <c r="BG8" s="1492"/>
      <c r="BH8" s="1492"/>
      <c r="BI8" s="1492"/>
      <c r="BJ8" s="1492"/>
      <c r="BK8" s="1492"/>
      <c r="BL8" s="1492"/>
      <c r="BM8" s="1492"/>
      <c r="BN8" s="1492"/>
      <c r="BO8" s="1492"/>
      <c r="BP8" s="1492"/>
      <c r="BQ8" s="1492"/>
      <c r="BR8" s="1492"/>
      <c r="BS8" s="1492"/>
      <c r="BT8" s="1492"/>
      <c r="BU8" s="1492"/>
      <c r="BV8" s="1492"/>
      <c r="BW8" s="1492"/>
      <c r="BX8" s="1492"/>
      <c r="BY8" s="1492"/>
      <c r="BZ8" s="1492"/>
      <c r="CA8" s="1492"/>
      <c r="CB8" s="1492"/>
      <c r="CC8" s="1492"/>
      <c r="CD8" s="1492"/>
      <c r="CE8" s="1492"/>
      <c r="CF8" s="1492"/>
      <c r="CG8" s="1492"/>
      <c r="CH8" s="1492"/>
      <c r="CI8" s="1492"/>
      <c r="CJ8" s="1492"/>
      <c r="CK8" s="1492"/>
      <c r="CL8" s="1492"/>
      <c r="CM8" s="1492"/>
      <c r="CN8" s="1492"/>
      <c r="CO8" s="1492"/>
      <c r="CP8" s="1492"/>
      <c r="CQ8" s="1492"/>
      <c r="CR8" s="1492"/>
      <c r="CS8" s="1492"/>
      <c r="CT8" s="1492"/>
      <c r="CU8" s="1492"/>
      <c r="CV8" s="1492"/>
      <c r="CW8" s="1492"/>
      <c r="CX8" s="1492"/>
      <c r="CY8" s="1492"/>
      <c r="CZ8" s="1492"/>
      <c r="DA8" s="1492"/>
    </row>
    <row r="9" spans="1:105" s="159" customFormat="1" ht="20.25" customHeight="1">
      <c r="A9" s="760">
        <v>1</v>
      </c>
      <c r="B9" s="761" t="s">
        <v>507</v>
      </c>
      <c r="C9" s="1530">
        <v>1050200</v>
      </c>
      <c r="D9" s="2538">
        <v>1301624</v>
      </c>
      <c r="E9" s="2538">
        <v>1607248</v>
      </c>
      <c r="F9" s="1530">
        <v>1500000</v>
      </c>
      <c r="G9" s="2538">
        <f>1500000</f>
        <v>1500000</v>
      </c>
      <c r="H9" s="2538">
        <f>1150000+2168750</f>
        <v>3318750</v>
      </c>
      <c r="I9" s="2538">
        <f>1000000+2111269</f>
        <v>3111269</v>
      </c>
      <c r="J9" s="1530">
        <v>251</v>
      </c>
      <c r="K9" s="2538">
        <v>255</v>
      </c>
      <c r="L9" s="2538">
        <v>317</v>
      </c>
      <c r="M9" s="2539">
        <v>295.85000000000002</v>
      </c>
      <c r="N9" s="3024">
        <v>295.85000000000002</v>
      </c>
      <c r="O9" s="3024">
        <v>654.55999999999995</v>
      </c>
      <c r="P9" s="2539">
        <v>613.65</v>
      </c>
      <c r="Q9" s="2479">
        <f>IFERROR((J9*1000)/(C9/1000),0)</f>
        <v>239.00209483907827</v>
      </c>
      <c r="R9" s="2480">
        <f t="shared" ref="R9:W9" si="1">IFERROR((K9*1000)/(D9/1000),0)</f>
        <v>195.90911046508054</v>
      </c>
      <c r="S9" s="2479">
        <f t="shared" si="1"/>
        <v>197.23154111873214</v>
      </c>
      <c r="T9" s="2479">
        <f t="shared" si="1"/>
        <v>197.23333333333332</v>
      </c>
      <c r="U9" s="2479">
        <f t="shared" si="1"/>
        <v>197.23333333333332</v>
      </c>
      <c r="V9" s="2479">
        <f t="shared" si="1"/>
        <v>197.23088512241054</v>
      </c>
      <c r="W9" s="2479">
        <f t="shared" si="1"/>
        <v>197.23463319950798</v>
      </c>
      <c r="X9" s="539"/>
      <c r="Y9" s="539"/>
      <c r="Z9" s="539"/>
      <c r="AA9" s="539"/>
      <c r="AB9" s="539"/>
    </row>
    <row r="10" spans="1:105" s="159" customFormat="1" ht="24">
      <c r="A10" s="760">
        <v>2</v>
      </c>
      <c r="B10" s="761" t="s">
        <v>508</v>
      </c>
      <c r="C10" s="1530">
        <v>226142</v>
      </c>
      <c r="D10" s="1530">
        <v>243430</v>
      </c>
      <c r="E10" s="1530">
        <v>213159</v>
      </c>
      <c r="F10" s="1530">
        <v>215500</v>
      </c>
      <c r="G10" s="1530">
        <v>210000</v>
      </c>
      <c r="H10" s="1530">
        <v>200500</v>
      </c>
      <c r="I10" s="1530">
        <v>195000</v>
      </c>
      <c r="J10" s="1530">
        <v>36</v>
      </c>
      <c r="K10" s="1530">
        <v>40</v>
      </c>
      <c r="L10" s="1530">
        <v>36</v>
      </c>
      <c r="M10" s="2539">
        <v>36.395000000000003</v>
      </c>
      <c r="N10" s="2539">
        <v>35.466000000000001</v>
      </c>
      <c r="O10" s="2539">
        <v>33.862000000000002</v>
      </c>
      <c r="P10" s="2539">
        <v>32.933</v>
      </c>
      <c r="Q10" s="2479">
        <f>IFERROR((J10*1000)/(C10/1000),0)</f>
        <v>159.19201209859293</v>
      </c>
      <c r="R10" s="2479">
        <f t="shared" ref="R10:W12" si="2">IFERROR((K10*1000)/(D10/1000),0)</f>
        <v>164.31828451710965</v>
      </c>
      <c r="S10" s="2479">
        <f t="shared" si="2"/>
        <v>168.88801317326502</v>
      </c>
      <c r="T10" s="2479">
        <f t="shared" si="2"/>
        <v>168.8863109048724</v>
      </c>
      <c r="U10" s="2479">
        <f t="shared" si="2"/>
        <v>168.88571428571427</v>
      </c>
      <c r="V10" s="2479">
        <f t="shared" si="2"/>
        <v>168.88778054862843</v>
      </c>
      <c r="W10" s="2479">
        <f t="shared" si="2"/>
        <v>168.88717948717948</v>
      </c>
      <c r="X10" s="540"/>
      <c r="Y10" s="539"/>
      <c r="Z10" s="539"/>
      <c r="AA10" s="539"/>
      <c r="AB10" s="540"/>
    </row>
    <row r="11" spans="1:105" s="159" customFormat="1" ht="24">
      <c r="A11" s="760">
        <v>3</v>
      </c>
      <c r="B11" s="761" t="s">
        <v>509</v>
      </c>
      <c r="C11" s="1530">
        <v>0</v>
      </c>
      <c r="D11" s="2538">
        <v>0</v>
      </c>
      <c r="E11" s="2538">
        <v>0</v>
      </c>
      <c r="F11" s="1530">
        <v>0</v>
      </c>
      <c r="G11" s="2538"/>
      <c r="H11" s="2538"/>
      <c r="I11" s="1530"/>
      <c r="J11" s="1530">
        <v>0</v>
      </c>
      <c r="K11" s="2538">
        <v>0</v>
      </c>
      <c r="L11" s="2538">
        <v>0</v>
      </c>
      <c r="M11" s="1530">
        <v>0</v>
      </c>
      <c r="N11" s="2538"/>
      <c r="O11" s="2538"/>
      <c r="P11" s="1530"/>
      <c r="Q11" s="2479">
        <f>IFERROR((J11*1000)/(C11/1000),0)</f>
        <v>0</v>
      </c>
      <c r="R11" s="2479">
        <f t="shared" si="2"/>
        <v>0</v>
      </c>
      <c r="S11" s="2479">
        <f t="shared" si="2"/>
        <v>0</v>
      </c>
      <c r="T11" s="2479">
        <f t="shared" si="2"/>
        <v>0</v>
      </c>
      <c r="U11" s="2479">
        <f t="shared" si="2"/>
        <v>0</v>
      </c>
      <c r="V11" s="2479">
        <f t="shared" si="2"/>
        <v>0</v>
      </c>
      <c r="W11" s="2479">
        <f t="shared" si="2"/>
        <v>0</v>
      </c>
      <c r="X11" s="540"/>
      <c r="Y11" s="540"/>
      <c r="Z11" s="540"/>
      <c r="AA11" s="540"/>
      <c r="AB11" s="540"/>
    </row>
    <row r="12" spans="1:105" s="159" customFormat="1" ht="26.25" customHeight="1">
      <c r="A12" s="2484">
        <v>4</v>
      </c>
      <c r="B12" s="2500" t="s">
        <v>506</v>
      </c>
      <c r="C12" s="2484">
        <f>C9+C10+C11</f>
        <v>1276342</v>
      </c>
      <c r="D12" s="2484">
        <f t="shared" ref="D12:P12" si="3">D9+D10+D11</f>
        <v>1545054</v>
      </c>
      <c r="E12" s="2484">
        <f t="shared" si="3"/>
        <v>1820407</v>
      </c>
      <c r="F12" s="2484">
        <f t="shared" si="3"/>
        <v>1715500</v>
      </c>
      <c r="G12" s="2484">
        <f t="shared" si="3"/>
        <v>1710000</v>
      </c>
      <c r="H12" s="2484">
        <f t="shared" si="3"/>
        <v>3519250</v>
      </c>
      <c r="I12" s="2484">
        <f t="shared" si="3"/>
        <v>3306269</v>
      </c>
      <c r="J12" s="2484">
        <f t="shared" si="3"/>
        <v>287</v>
      </c>
      <c r="K12" s="2484">
        <f t="shared" si="3"/>
        <v>295</v>
      </c>
      <c r="L12" s="2484">
        <f t="shared" si="3"/>
        <v>353</v>
      </c>
      <c r="M12" s="2484">
        <f t="shared" si="3"/>
        <v>332.245</v>
      </c>
      <c r="N12" s="2484">
        <f t="shared" si="3"/>
        <v>331.31600000000003</v>
      </c>
      <c r="O12" s="2484">
        <f t="shared" si="3"/>
        <v>688.42199999999991</v>
      </c>
      <c r="P12" s="2484">
        <f t="shared" si="3"/>
        <v>646.58299999999997</v>
      </c>
      <c r="Q12" s="2481">
        <f>IFERROR((J12*1000)/(C12/1000),0)</f>
        <v>224.861361609976</v>
      </c>
      <c r="R12" s="2481">
        <f t="shared" si="2"/>
        <v>190.9318379810673</v>
      </c>
      <c r="S12" s="2481">
        <f t="shared" si="2"/>
        <v>193.91267996662285</v>
      </c>
      <c r="T12" s="2481">
        <f t="shared" si="2"/>
        <v>193.67239871757505</v>
      </c>
      <c r="U12" s="2481">
        <f t="shared" si="2"/>
        <v>193.75204678362576</v>
      </c>
      <c r="V12" s="2481">
        <f t="shared" si="2"/>
        <v>195.61611138736944</v>
      </c>
      <c r="W12" s="2481">
        <f t="shared" si="2"/>
        <v>195.56273249393806</v>
      </c>
      <c r="X12" s="540"/>
      <c r="Y12" s="540"/>
      <c r="Z12" s="540"/>
      <c r="AA12" s="540"/>
      <c r="AB12" s="540"/>
    </row>
    <row r="13" spans="1:105" ht="22.5" customHeight="1">
      <c r="A13" s="2495">
        <v>5</v>
      </c>
      <c r="B13" s="761" t="s">
        <v>511</v>
      </c>
      <c r="C13" s="2482"/>
      <c r="D13" s="2485">
        <f t="shared" ref="D13:I13" si="4">D12-C12</f>
        <v>268712</v>
      </c>
      <c r="E13" s="2485">
        <f t="shared" si="4"/>
        <v>275353</v>
      </c>
      <c r="F13" s="2485">
        <f t="shared" si="4"/>
        <v>-104907</v>
      </c>
      <c r="G13" s="2485">
        <f t="shared" si="4"/>
        <v>-5500</v>
      </c>
      <c r="H13" s="2485">
        <f t="shared" si="4"/>
        <v>1809250</v>
      </c>
      <c r="I13" s="2485">
        <f t="shared" si="4"/>
        <v>-212981</v>
      </c>
      <c r="J13" s="2482"/>
      <c r="K13" s="2485">
        <f t="shared" ref="K13:P13" si="5">K12-J12</f>
        <v>8</v>
      </c>
      <c r="L13" s="2485">
        <f t="shared" si="5"/>
        <v>58</v>
      </c>
      <c r="M13" s="2485">
        <f t="shared" si="5"/>
        <v>-20.754999999999995</v>
      </c>
      <c r="N13" s="2485">
        <f t="shared" si="5"/>
        <v>-0.92899999999997362</v>
      </c>
      <c r="O13" s="2485">
        <f t="shared" si="5"/>
        <v>357.10599999999988</v>
      </c>
      <c r="P13" s="2485">
        <f t="shared" si="5"/>
        <v>-41.838999999999942</v>
      </c>
      <c r="Q13" s="2482"/>
      <c r="R13" s="2483">
        <f t="shared" ref="R13:W13" si="6">R12-Q12</f>
        <v>-33.929523628908697</v>
      </c>
      <c r="S13" s="2483">
        <f t="shared" si="6"/>
        <v>2.9808419855555428</v>
      </c>
      <c r="T13" s="2483">
        <f t="shared" si="6"/>
        <v>-0.24028124904779702</v>
      </c>
      <c r="U13" s="2483">
        <f t="shared" si="6"/>
        <v>7.9648066050708621E-2</v>
      </c>
      <c r="V13" s="2483">
        <f t="shared" si="6"/>
        <v>1.8640646037436852</v>
      </c>
      <c r="W13" s="2483">
        <f t="shared" si="6"/>
        <v>-5.3378893431386132E-2</v>
      </c>
    </row>
    <row r="14" spans="1:105" ht="22.5" customHeight="1">
      <c r="A14" s="2503">
        <v>6</v>
      </c>
      <c r="B14" s="2496" t="s">
        <v>1188</v>
      </c>
      <c r="C14" s="2486">
        <f>C12/'4. Отчет и прогн. потребление'!D10</f>
        <v>4.360046332550694E-2</v>
      </c>
      <c r="D14" s="2486">
        <f>D12/'4. Отчет и прогн. потребление'!E10</f>
        <v>5.4888036936332887E-2</v>
      </c>
      <c r="E14" s="2486">
        <f>E12/'4. Отчет и прогн. потребление'!F10</f>
        <v>6.66611152569693E-2</v>
      </c>
      <c r="F14" s="2486">
        <f>F12/'4. Отчет и прогн. потребление'!G10</f>
        <v>6.5728601451301313E-2</v>
      </c>
      <c r="G14" s="2486">
        <f>G12/'4. Отчет и прогн. потребление'!H10</f>
        <v>6.5073331555930758E-2</v>
      </c>
      <c r="H14" s="2486">
        <f>H12/'4. Отчет и прогн. потребление'!I10</f>
        <v>0.11306013639500322</v>
      </c>
      <c r="I14" s="2487">
        <f>I12/'4. Отчет и прогн. потребление'!J10</f>
        <v>0.10896091024061891</v>
      </c>
      <c r="J14" s="2482"/>
      <c r="K14" s="2482"/>
      <c r="L14" s="2482"/>
      <c r="M14" s="2482"/>
      <c r="N14" s="2482"/>
      <c r="O14" s="2482"/>
      <c r="P14" s="2482"/>
      <c r="Q14" s="2482"/>
      <c r="R14" s="2482"/>
      <c r="S14" s="2482"/>
      <c r="T14" s="2482"/>
      <c r="U14" s="2482"/>
      <c r="V14" s="2482"/>
      <c r="W14" s="2482"/>
    </row>
    <row r="15" spans="1:105" ht="24">
      <c r="A15" s="2503">
        <v>7</v>
      </c>
      <c r="B15" s="2496" t="s">
        <v>1189</v>
      </c>
      <c r="C15" s="2486">
        <f>C12/'4. Отчет и прогн. потребление'!D21</f>
        <v>0.12082953948827065</v>
      </c>
      <c r="D15" s="2486">
        <f>D12/'4. Отчет и прогн. потребление'!E21</f>
        <v>0.14787808112834402</v>
      </c>
      <c r="E15" s="2486">
        <f>E12/'4. Отчет и прогн. потребление'!F21</f>
        <v>0.17246390033891054</v>
      </c>
      <c r="F15" s="2486">
        <f>F12/'4. Отчет и прогн. потребление'!G21</f>
        <v>0.16202459052546686</v>
      </c>
      <c r="G15" s="2486">
        <f>G12/'4. Отчет и прогн. потребление'!H21</f>
        <v>0.15871544075695571</v>
      </c>
      <c r="H15" s="2486">
        <f>H12/'4. Отчет и прогн. потребление'!I21</f>
        <v>0.26748978856734545</v>
      </c>
      <c r="I15" s="2487">
        <f>I12/'4. Отчет и прогн. потребление'!J21</f>
        <v>0.25252436994147426</v>
      </c>
      <c r="J15" s="2482"/>
      <c r="K15" s="2482"/>
      <c r="L15" s="2482"/>
      <c r="M15" s="2482"/>
      <c r="N15" s="2482"/>
      <c r="O15" s="2482"/>
      <c r="P15" s="2482"/>
      <c r="Q15" s="2482"/>
      <c r="R15" s="2482"/>
      <c r="S15" s="2482"/>
      <c r="T15" s="2482"/>
      <c r="U15" s="2482"/>
      <c r="V15" s="2482"/>
      <c r="W15" s="2482"/>
    </row>
    <row r="16" spans="1:105" s="1493" customFormat="1" ht="12" customHeight="1">
      <c r="A16" s="1499"/>
      <c r="B16" s="596"/>
      <c r="C16" s="1500"/>
      <c r="D16" s="1501"/>
      <c r="E16" s="1502"/>
      <c r="F16" s="1502"/>
      <c r="G16" s="1502"/>
      <c r="H16" s="1502"/>
      <c r="I16" s="1502"/>
      <c r="J16" s="1500"/>
      <c r="K16" s="1501"/>
      <c r="L16" s="1502"/>
      <c r="M16" s="1502"/>
      <c r="N16" s="1502"/>
      <c r="O16" s="1502"/>
      <c r="P16" s="1502"/>
      <c r="Q16" s="1500"/>
      <c r="R16" s="1501"/>
      <c r="S16" s="1502"/>
      <c r="T16" s="1502"/>
      <c r="U16" s="1502"/>
      <c r="V16" s="1502"/>
      <c r="W16" s="1502"/>
      <c r="X16" s="1494"/>
      <c r="Y16" s="1494"/>
      <c r="Z16" s="1494"/>
      <c r="AA16" s="1494"/>
      <c r="AB16" s="1494"/>
    </row>
    <row r="17" spans="1:28" s="1493" customFormat="1" ht="21" customHeight="1">
      <c r="A17" s="3453" t="s">
        <v>913</v>
      </c>
      <c r="B17" s="3454"/>
      <c r="C17" s="3455"/>
      <c r="D17" s="2488"/>
      <c r="E17" s="2489"/>
      <c r="F17" s="2489"/>
      <c r="G17" s="2489"/>
      <c r="H17" s="2489"/>
      <c r="I17" s="2490"/>
      <c r="J17" s="2491">
        <f>J12-'12. Разходи'!C17</f>
        <v>0</v>
      </c>
      <c r="K17" s="2491">
        <f>K12-'12. Разходи'!D17</f>
        <v>0</v>
      </c>
      <c r="L17" s="2491">
        <f>L12-'12. Разходи'!E17</f>
        <v>0</v>
      </c>
      <c r="M17" s="3023">
        <f>M12-'12. Разходи'!F17</f>
        <v>0</v>
      </c>
      <c r="N17" s="3023">
        <f>N12-'12. Разходи'!G17</f>
        <v>0</v>
      </c>
      <c r="O17" s="3023">
        <f>O12-'12. Разходи'!H17</f>
        <v>0</v>
      </c>
      <c r="P17" s="3023">
        <f>P12-'12. Разходи'!I17</f>
        <v>0</v>
      </c>
      <c r="Q17" s="1500"/>
      <c r="R17" s="1501"/>
      <c r="S17" s="1502"/>
      <c r="T17" s="1502"/>
      <c r="U17" s="1502"/>
      <c r="V17" s="1502"/>
      <c r="W17" s="1502"/>
      <c r="X17" s="1494"/>
      <c r="Y17" s="1494"/>
      <c r="Z17" s="1494"/>
      <c r="AA17" s="1494"/>
      <c r="AB17" s="1494"/>
    </row>
    <row r="18" spans="1:28" s="1493" customFormat="1" ht="20.25" customHeight="1">
      <c r="A18" s="1503"/>
      <c r="B18" s="1504"/>
      <c r="C18" s="1502"/>
      <c r="D18" s="1501"/>
      <c r="E18" s="1502"/>
      <c r="F18" s="1502"/>
      <c r="G18" s="1502"/>
      <c r="H18" s="1502"/>
      <c r="I18" s="1502"/>
      <c r="J18" s="1500"/>
      <c r="K18" s="1501"/>
      <c r="L18" s="1502"/>
      <c r="M18" s="1502"/>
      <c r="N18" s="1502"/>
      <c r="O18" s="1502"/>
      <c r="P18" s="1502"/>
      <c r="Q18" s="1500"/>
      <c r="R18" s="1501"/>
      <c r="S18" s="1502"/>
      <c r="T18" s="1502"/>
      <c r="U18" s="1502"/>
      <c r="V18" s="1502"/>
      <c r="W18" s="1502"/>
      <c r="X18" s="1494"/>
      <c r="Y18" s="1494"/>
      <c r="Z18" s="1494"/>
      <c r="AA18" s="1494"/>
      <c r="AB18" s="1494"/>
    </row>
    <row r="19" spans="1:28" ht="24" customHeight="1">
      <c r="A19" s="3456" t="s">
        <v>1</v>
      </c>
      <c r="B19" s="3456" t="s">
        <v>502</v>
      </c>
      <c r="C19" s="3456" t="s">
        <v>271</v>
      </c>
      <c r="D19" s="3456"/>
      <c r="E19" s="3456"/>
      <c r="F19" s="3456"/>
      <c r="G19" s="3456"/>
      <c r="H19" s="3456"/>
      <c r="I19" s="3456"/>
      <c r="J19" s="3456"/>
      <c r="K19" s="3456"/>
      <c r="L19" s="3456"/>
      <c r="M19" s="3456"/>
      <c r="N19" s="3456"/>
      <c r="O19" s="3456"/>
      <c r="P19" s="3456"/>
      <c r="Q19" s="3456"/>
      <c r="R19" s="3456"/>
      <c r="S19" s="3456"/>
      <c r="T19" s="3456"/>
      <c r="U19" s="3456"/>
      <c r="V19" s="3456"/>
      <c r="W19" s="3456"/>
    </row>
    <row r="20" spans="1:28" ht="24" customHeight="1">
      <c r="A20" s="3457"/>
      <c r="B20" s="3457"/>
      <c r="C20" s="3458" t="s">
        <v>503</v>
      </c>
      <c r="D20" s="3458"/>
      <c r="E20" s="3458"/>
      <c r="F20" s="3458"/>
      <c r="G20" s="3458"/>
      <c r="H20" s="3458"/>
      <c r="I20" s="3458"/>
      <c r="J20" s="3458" t="s">
        <v>1186</v>
      </c>
      <c r="K20" s="3458"/>
      <c r="L20" s="3458"/>
      <c r="M20" s="3458"/>
      <c r="N20" s="3458"/>
      <c r="O20" s="3458"/>
      <c r="P20" s="3458"/>
      <c r="Q20" s="3458" t="s">
        <v>1187</v>
      </c>
      <c r="R20" s="3458"/>
      <c r="S20" s="3458"/>
      <c r="T20" s="3458"/>
      <c r="U20" s="3458"/>
      <c r="V20" s="3458"/>
      <c r="W20" s="3458"/>
    </row>
    <row r="21" spans="1:28" ht="24" customHeight="1">
      <c r="A21" s="3457"/>
      <c r="B21" s="3457"/>
      <c r="C21" s="1497" t="str">
        <f>'Приложение '!G12</f>
        <v>2015 г.</v>
      </c>
      <c r="D21" s="1497" t="str">
        <f>'Приложение '!$G13</f>
        <v>2016 г.</v>
      </c>
      <c r="E21" s="1497" t="str">
        <f>'Приложение '!$G14</f>
        <v>2017 г.</v>
      </c>
      <c r="F21" s="1497" t="str">
        <f>'Приложение '!$G15</f>
        <v>2018 г.</v>
      </c>
      <c r="G21" s="1497" t="str">
        <f>'Приложение '!$G16</f>
        <v>2019 г.</v>
      </c>
      <c r="H21" s="1497" t="str">
        <f>'Приложение '!$G17</f>
        <v>2020 г.</v>
      </c>
      <c r="I21" s="1497" t="str">
        <f>'Приложение '!$G18</f>
        <v>2021 г.</v>
      </c>
      <c r="J21" s="1497" t="str">
        <f t="shared" ref="J21:W21" si="7">C21</f>
        <v>2015 г.</v>
      </c>
      <c r="K21" s="1497" t="str">
        <f t="shared" si="7"/>
        <v>2016 г.</v>
      </c>
      <c r="L21" s="1497" t="str">
        <f t="shared" si="7"/>
        <v>2017 г.</v>
      </c>
      <c r="M21" s="1497" t="str">
        <f t="shared" si="7"/>
        <v>2018 г.</v>
      </c>
      <c r="N21" s="1497" t="str">
        <f t="shared" si="7"/>
        <v>2019 г.</v>
      </c>
      <c r="O21" s="1497" t="str">
        <f t="shared" si="7"/>
        <v>2020 г.</v>
      </c>
      <c r="P21" s="1497" t="str">
        <f t="shared" si="7"/>
        <v>2021 г.</v>
      </c>
      <c r="Q21" s="1497" t="str">
        <f t="shared" si="7"/>
        <v>2015 г.</v>
      </c>
      <c r="R21" s="1497" t="str">
        <f t="shared" si="7"/>
        <v>2016 г.</v>
      </c>
      <c r="S21" s="1497" t="str">
        <f t="shared" si="7"/>
        <v>2017 г.</v>
      </c>
      <c r="T21" s="1497" t="str">
        <f t="shared" si="7"/>
        <v>2018 г.</v>
      </c>
      <c r="U21" s="1497" t="str">
        <f t="shared" si="7"/>
        <v>2019 г.</v>
      </c>
      <c r="V21" s="1497" t="str">
        <f t="shared" si="7"/>
        <v>2020 г.</v>
      </c>
      <c r="W21" s="1497" t="str">
        <f t="shared" si="7"/>
        <v>2021 г.</v>
      </c>
    </row>
    <row r="22" spans="1:28" ht="23.25" customHeight="1">
      <c r="A22" s="760">
        <v>1</v>
      </c>
      <c r="B22" s="761" t="s">
        <v>507</v>
      </c>
      <c r="C22" s="1530">
        <v>1280</v>
      </c>
      <c r="D22" s="2538">
        <v>1072</v>
      </c>
      <c r="E22" s="2538">
        <v>1070</v>
      </c>
      <c r="F22" s="1530">
        <v>1070</v>
      </c>
      <c r="G22" s="2538">
        <v>1050</v>
      </c>
      <c r="H22" s="2538">
        <v>1050</v>
      </c>
      <c r="I22" s="1530">
        <v>1050</v>
      </c>
      <c r="J22" s="3021">
        <v>0.27200000000000002</v>
      </c>
      <c r="K22" s="3022">
        <v>0.22700000000000001</v>
      </c>
      <c r="L22" s="3022">
        <v>0.22700000000000001</v>
      </c>
      <c r="M22" s="3021">
        <v>0.22700000000000001</v>
      </c>
      <c r="N22" s="3022">
        <v>0.223</v>
      </c>
      <c r="O22" s="3022">
        <v>0.223</v>
      </c>
      <c r="P22" s="3021">
        <v>0.223</v>
      </c>
      <c r="Q22" s="2479">
        <f t="shared" ref="Q22:W25" si="8">IFERROR((J22*1000)/(C22/1000),0)</f>
        <v>212.5</v>
      </c>
      <c r="R22" s="2480">
        <f t="shared" si="8"/>
        <v>211.75373134328356</v>
      </c>
      <c r="S22" s="2479">
        <f t="shared" si="8"/>
        <v>212.14953271028037</v>
      </c>
      <c r="T22" s="2479">
        <f t="shared" si="8"/>
        <v>212.14953271028037</v>
      </c>
      <c r="U22" s="2479">
        <f t="shared" si="8"/>
        <v>212.38095238095238</v>
      </c>
      <c r="V22" s="2479">
        <f t="shared" si="8"/>
        <v>212.38095238095238</v>
      </c>
      <c r="W22" s="2479">
        <f t="shared" si="8"/>
        <v>212.38095238095238</v>
      </c>
    </row>
    <row r="23" spans="1:28" ht="24">
      <c r="A23" s="760">
        <v>2</v>
      </c>
      <c r="B23" s="761" t="s">
        <v>508</v>
      </c>
      <c r="C23" s="1530"/>
      <c r="D23" s="2538"/>
      <c r="E23" s="2538"/>
      <c r="F23" s="1530"/>
      <c r="G23" s="2538"/>
      <c r="H23" s="2538"/>
      <c r="I23" s="1530"/>
      <c r="J23" s="1530"/>
      <c r="K23" s="2538"/>
      <c r="L23" s="2538"/>
      <c r="M23" s="1530"/>
      <c r="N23" s="2538"/>
      <c r="O23" s="2538"/>
      <c r="P23" s="1530"/>
      <c r="Q23" s="2479">
        <f t="shared" si="8"/>
        <v>0</v>
      </c>
      <c r="R23" s="2479">
        <f t="shared" si="8"/>
        <v>0</v>
      </c>
      <c r="S23" s="2479">
        <f t="shared" si="8"/>
        <v>0</v>
      </c>
      <c r="T23" s="2479">
        <f t="shared" si="8"/>
        <v>0</v>
      </c>
      <c r="U23" s="2479">
        <f t="shared" si="8"/>
        <v>0</v>
      </c>
      <c r="V23" s="2479">
        <f t="shared" si="8"/>
        <v>0</v>
      </c>
      <c r="W23" s="2479">
        <f t="shared" si="8"/>
        <v>0</v>
      </c>
    </row>
    <row r="24" spans="1:28" ht="24">
      <c r="A24" s="760">
        <v>3</v>
      </c>
      <c r="B24" s="761" t="s">
        <v>509</v>
      </c>
      <c r="C24" s="1530"/>
      <c r="D24" s="2538"/>
      <c r="E24" s="2538"/>
      <c r="F24" s="1530"/>
      <c r="G24" s="2538"/>
      <c r="H24" s="2538"/>
      <c r="I24" s="1530"/>
      <c r="J24" s="1530"/>
      <c r="K24" s="2538"/>
      <c r="L24" s="2538"/>
      <c r="M24" s="1530"/>
      <c r="N24" s="2538"/>
      <c r="O24" s="2538"/>
      <c r="P24" s="1530"/>
      <c r="Q24" s="2479">
        <f t="shared" si="8"/>
        <v>0</v>
      </c>
      <c r="R24" s="2479">
        <f t="shared" si="8"/>
        <v>0</v>
      </c>
      <c r="S24" s="2479">
        <f t="shared" si="8"/>
        <v>0</v>
      </c>
      <c r="T24" s="2479">
        <f t="shared" si="8"/>
        <v>0</v>
      </c>
      <c r="U24" s="2479">
        <f t="shared" si="8"/>
        <v>0</v>
      </c>
      <c r="V24" s="2479">
        <f t="shared" si="8"/>
        <v>0</v>
      </c>
      <c r="W24" s="2479">
        <f t="shared" si="8"/>
        <v>0</v>
      </c>
    </row>
    <row r="25" spans="1:28" ht="19.5" customHeight="1">
      <c r="A25" s="2484">
        <v>4</v>
      </c>
      <c r="B25" s="2500" t="s">
        <v>506</v>
      </c>
      <c r="C25" s="2484">
        <f>C22+C23+C24</f>
        <v>1280</v>
      </c>
      <c r="D25" s="2484">
        <f t="shared" ref="D25:P25" si="9">D22+D23+D24</f>
        <v>1072</v>
      </c>
      <c r="E25" s="2484">
        <f t="shared" si="9"/>
        <v>1070</v>
      </c>
      <c r="F25" s="2484">
        <f t="shared" si="9"/>
        <v>1070</v>
      </c>
      <c r="G25" s="2484">
        <f t="shared" si="9"/>
        <v>1050</v>
      </c>
      <c r="H25" s="2484">
        <f t="shared" si="9"/>
        <v>1050</v>
      </c>
      <c r="I25" s="2484">
        <f t="shared" si="9"/>
        <v>1050</v>
      </c>
      <c r="J25" s="2484">
        <f t="shared" si="9"/>
        <v>0.27200000000000002</v>
      </c>
      <c r="K25" s="2484">
        <f t="shared" si="9"/>
        <v>0.22700000000000001</v>
      </c>
      <c r="L25" s="2484">
        <f t="shared" si="9"/>
        <v>0.22700000000000001</v>
      </c>
      <c r="M25" s="2484">
        <f t="shared" si="9"/>
        <v>0.22700000000000001</v>
      </c>
      <c r="N25" s="2484">
        <f t="shared" si="9"/>
        <v>0.223</v>
      </c>
      <c r="O25" s="2484">
        <f t="shared" si="9"/>
        <v>0.223</v>
      </c>
      <c r="P25" s="2484">
        <f t="shared" si="9"/>
        <v>0.223</v>
      </c>
      <c r="Q25" s="2481">
        <f t="shared" si="8"/>
        <v>212.5</v>
      </c>
      <c r="R25" s="2481">
        <f t="shared" si="8"/>
        <v>211.75373134328356</v>
      </c>
      <c r="S25" s="2481">
        <f t="shared" si="8"/>
        <v>212.14953271028037</v>
      </c>
      <c r="T25" s="2481">
        <f t="shared" si="8"/>
        <v>212.14953271028037</v>
      </c>
      <c r="U25" s="2481">
        <f t="shared" si="8"/>
        <v>212.38095238095238</v>
      </c>
      <c r="V25" s="2481">
        <f t="shared" si="8"/>
        <v>212.38095238095238</v>
      </c>
      <c r="W25" s="2481">
        <f t="shared" si="8"/>
        <v>212.38095238095238</v>
      </c>
    </row>
    <row r="26" spans="1:28" ht="19.5" customHeight="1">
      <c r="A26" s="2495">
        <v>5</v>
      </c>
      <c r="B26" s="761" t="s">
        <v>511</v>
      </c>
      <c r="C26" s="2482"/>
      <c r="D26" s="2485">
        <f t="shared" ref="D26:I26" si="10">D25-C25</f>
        <v>-208</v>
      </c>
      <c r="E26" s="2485">
        <f t="shared" si="10"/>
        <v>-2</v>
      </c>
      <c r="F26" s="2485">
        <f t="shared" si="10"/>
        <v>0</v>
      </c>
      <c r="G26" s="2485">
        <f t="shared" si="10"/>
        <v>-20</v>
      </c>
      <c r="H26" s="2485">
        <f t="shared" si="10"/>
        <v>0</v>
      </c>
      <c r="I26" s="2485">
        <f t="shared" si="10"/>
        <v>0</v>
      </c>
      <c r="J26" s="2482"/>
      <c r="K26" s="2485">
        <f t="shared" ref="K26:P26" si="11">K25-J25</f>
        <v>-4.5000000000000012E-2</v>
      </c>
      <c r="L26" s="2485">
        <f t="shared" si="11"/>
        <v>0</v>
      </c>
      <c r="M26" s="2485">
        <f t="shared" si="11"/>
        <v>0</v>
      </c>
      <c r="N26" s="2485">
        <f t="shared" si="11"/>
        <v>-4.0000000000000036E-3</v>
      </c>
      <c r="O26" s="2485">
        <f t="shared" si="11"/>
        <v>0</v>
      </c>
      <c r="P26" s="2485">
        <f t="shared" si="11"/>
        <v>0</v>
      </c>
      <c r="Q26" s="2482"/>
      <c r="R26" s="2483">
        <f t="shared" ref="R26:W26" si="12">R25-Q25</f>
        <v>-0.74626865671643827</v>
      </c>
      <c r="S26" s="2483">
        <f t="shared" si="12"/>
        <v>0.39580136699680679</v>
      </c>
      <c r="T26" s="2483">
        <f t="shared" si="12"/>
        <v>0</v>
      </c>
      <c r="U26" s="2483">
        <f t="shared" si="12"/>
        <v>0.23141967067201108</v>
      </c>
      <c r="V26" s="2483">
        <f t="shared" si="12"/>
        <v>0</v>
      </c>
      <c r="W26" s="2483">
        <f t="shared" si="12"/>
        <v>0</v>
      </c>
    </row>
    <row r="27" spans="1:28" ht="24">
      <c r="A27" s="2495">
        <v>6</v>
      </c>
      <c r="B27" s="2496" t="s">
        <v>1189</v>
      </c>
      <c r="C27" s="2486">
        <f>C25/'4. Отчет и прогн. потребление'!D53</f>
        <v>1.5208670082597338E-4</v>
      </c>
      <c r="D27" s="2486">
        <f>D25/'4. Отчет и прогн. потребление'!E53</f>
        <v>1.2890265721043827E-4</v>
      </c>
      <c r="E27" s="2486">
        <f>E25/'4. Отчет и прогн. потребление'!F53</f>
        <v>1.2646186069836021E-4</v>
      </c>
      <c r="F27" s="2486">
        <f>F25/'4. Отчет и прогн. потребление'!G53</f>
        <v>1.2377213988611576E-4</v>
      </c>
      <c r="G27" s="2486">
        <f>G25/'4. Отчет и прогн. потребление'!H53</f>
        <v>1.1778469205080087E-4</v>
      </c>
      <c r="H27" s="2486">
        <f>H25/'4. Отчет и прогн. потребление'!I53</f>
        <v>9.5763155281050724E-5</v>
      </c>
      <c r="I27" s="2486">
        <f>I25/'4. Отчет и прогн. потребление'!J53</f>
        <v>9.619322195074357E-5</v>
      </c>
      <c r="J27" s="2482"/>
      <c r="K27" s="2482"/>
      <c r="L27" s="2482"/>
      <c r="M27" s="2482"/>
      <c r="N27" s="2482"/>
      <c r="O27" s="2482"/>
      <c r="P27" s="2482"/>
      <c r="Q27" s="2482"/>
      <c r="R27" s="2482"/>
      <c r="S27" s="2482"/>
      <c r="T27" s="2482"/>
      <c r="U27" s="2482"/>
      <c r="V27" s="2482"/>
      <c r="W27" s="2482"/>
    </row>
    <row r="28" spans="1:28" s="1493" customFormat="1" ht="15">
      <c r="A28" s="2497"/>
      <c r="B28" s="596"/>
      <c r="C28" s="2492"/>
      <c r="D28" s="2493"/>
      <c r="E28" s="2494"/>
      <c r="F28" s="2494"/>
      <c r="G28" s="2494"/>
      <c r="H28" s="2494"/>
      <c r="I28" s="2494"/>
      <c r="J28" s="2492"/>
      <c r="K28" s="2493"/>
      <c r="L28" s="2494"/>
      <c r="M28" s="2494"/>
      <c r="N28" s="2494"/>
      <c r="O28" s="2494"/>
      <c r="P28" s="2494"/>
      <c r="Q28" s="2492"/>
      <c r="R28" s="2493"/>
      <c r="S28" s="2494"/>
      <c r="T28" s="2494"/>
      <c r="U28" s="2494"/>
      <c r="V28" s="2494"/>
      <c r="W28" s="2494"/>
      <c r="X28" s="1494"/>
      <c r="Y28" s="1494"/>
      <c r="Z28" s="1494"/>
      <c r="AA28" s="1494"/>
      <c r="AB28" s="1494"/>
    </row>
    <row r="29" spans="1:28" s="1493" customFormat="1" ht="22.5" customHeight="1">
      <c r="A29" s="3453" t="s">
        <v>913</v>
      </c>
      <c r="B29" s="3454"/>
      <c r="C29" s="3455"/>
      <c r="D29" s="2488"/>
      <c r="E29" s="2489"/>
      <c r="F29" s="2489"/>
      <c r="G29" s="2489"/>
      <c r="H29" s="2489"/>
      <c r="I29" s="2490"/>
      <c r="J29" s="3023">
        <f>J25-'12. Разходи'!J17</f>
        <v>0</v>
      </c>
      <c r="K29" s="3023">
        <f>K25-'12. Разходи'!K17</f>
        <v>0</v>
      </c>
      <c r="L29" s="3023">
        <f>L25-'12. Разходи'!L17</f>
        <v>0</v>
      </c>
      <c r="M29" s="3023">
        <f>M25-'12. Разходи'!M17</f>
        <v>0</v>
      </c>
      <c r="N29" s="3023">
        <f>N25-'12. Разходи'!N17</f>
        <v>0</v>
      </c>
      <c r="O29" s="3023">
        <f>O25-'12. Разходи'!O17</f>
        <v>0</v>
      </c>
      <c r="P29" s="3023">
        <f>P25-'12. Разходи'!P17</f>
        <v>0</v>
      </c>
      <c r="Q29" s="2492"/>
      <c r="R29" s="2493"/>
      <c r="S29" s="2494"/>
      <c r="T29" s="2494"/>
      <c r="U29" s="2494"/>
      <c r="V29" s="2494"/>
      <c r="W29" s="2494"/>
      <c r="X29" s="1494"/>
      <c r="Y29" s="1494"/>
      <c r="Z29" s="1494"/>
      <c r="AA29" s="1494"/>
      <c r="AB29" s="1494"/>
    </row>
    <row r="31" spans="1:28" ht="21.75" customHeight="1">
      <c r="A31" s="3456" t="s">
        <v>1</v>
      </c>
      <c r="B31" s="3456" t="s">
        <v>502</v>
      </c>
      <c r="C31" s="3456" t="s">
        <v>272</v>
      </c>
      <c r="D31" s="3456"/>
      <c r="E31" s="3456"/>
      <c r="F31" s="3456"/>
      <c r="G31" s="3456"/>
      <c r="H31" s="3456"/>
      <c r="I31" s="3456"/>
      <c r="J31" s="3456"/>
      <c r="K31" s="3456"/>
      <c r="L31" s="3456"/>
      <c r="M31" s="3456"/>
      <c r="N31" s="3456"/>
      <c r="O31" s="3456"/>
      <c r="P31" s="3456"/>
      <c r="Q31" s="3456"/>
      <c r="R31" s="3456"/>
      <c r="S31" s="3456"/>
      <c r="T31" s="3456"/>
      <c r="U31" s="3456"/>
      <c r="V31" s="3456"/>
      <c r="W31" s="3456"/>
    </row>
    <row r="32" spans="1:28" ht="21.75" customHeight="1">
      <c r="A32" s="3457"/>
      <c r="B32" s="3457"/>
      <c r="C32" s="3458" t="s">
        <v>503</v>
      </c>
      <c r="D32" s="3458"/>
      <c r="E32" s="3458"/>
      <c r="F32" s="3458"/>
      <c r="G32" s="3458"/>
      <c r="H32" s="3458"/>
      <c r="I32" s="3458"/>
      <c r="J32" s="3458" t="s">
        <v>504</v>
      </c>
      <c r="K32" s="3458"/>
      <c r="L32" s="3458"/>
      <c r="M32" s="3458"/>
      <c r="N32" s="3458"/>
      <c r="O32" s="3458"/>
      <c r="P32" s="3458"/>
      <c r="Q32" s="3458" t="s">
        <v>512</v>
      </c>
      <c r="R32" s="3458"/>
      <c r="S32" s="3458"/>
      <c r="T32" s="3458"/>
      <c r="U32" s="3458"/>
      <c r="V32" s="3458"/>
      <c r="W32" s="3458"/>
    </row>
    <row r="33" spans="1:28" ht="21.75" customHeight="1">
      <c r="A33" s="3457"/>
      <c r="B33" s="3457"/>
      <c r="C33" s="1497" t="str">
        <f t="shared" ref="C33:I33" si="13">C21</f>
        <v>2015 г.</v>
      </c>
      <c r="D33" s="1497" t="str">
        <f t="shared" si="13"/>
        <v>2016 г.</v>
      </c>
      <c r="E33" s="1497" t="str">
        <f t="shared" si="13"/>
        <v>2017 г.</v>
      </c>
      <c r="F33" s="1497" t="str">
        <f t="shared" si="13"/>
        <v>2018 г.</v>
      </c>
      <c r="G33" s="1497" t="str">
        <f t="shared" si="13"/>
        <v>2019 г.</v>
      </c>
      <c r="H33" s="1497" t="str">
        <f t="shared" si="13"/>
        <v>2020 г.</v>
      </c>
      <c r="I33" s="1497" t="str">
        <f t="shared" si="13"/>
        <v>2021 г.</v>
      </c>
      <c r="J33" s="1497" t="str">
        <f t="shared" ref="J33:W33" si="14">C33</f>
        <v>2015 г.</v>
      </c>
      <c r="K33" s="1497" t="str">
        <f t="shared" si="14"/>
        <v>2016 г.</v>
      </c>
      <c r="L33" s="1497" t="str">
        <f t="shared" si="14"/>
        <v>2017 г.</v>
      </c>
      <c r="M33" s="1497" t="str">
        <f t="shared" si="14"/>
        <v>2018 г.</v>
      </c>
      <c r="N33" s="1497" t="str">
        <f t="shared" si="14"/>
        <v>2019 г.</v>
      </c>
      <c r="O33" s="1497" t="str">
        <f t="shared" si="14"/>
        <v>2020 г.</v>
      </c>
      <c r="P33" s="1497" t="str">
        <f t="shared" si="14"/>
        <v>2021 г.</v>
      </c>
      <c r="Q33" s="1497" t="str">
        <f t="shared" si="14"/>
        <v>2015 г.</v>
      </c>
      <c r="R33" s="1497" t="str">
        <f t="shared" si="14"/>
        <v>2016 г.</v>
      </c>
      <c r="S33" s="1497" t="str">
        <f t="shared" si="14"/>
        <v>2017 г.</v>
      </c>
      <c r="T33" s="1497" t="str">
        <f t="shared" si="14"/>
        <v>2018 г.</v>
      </c>
      <c r="U33" s="1497" t="str">
        <f t="shared" si="14"/>
        <v>2019 г.</v>
      </c>
      <c r="V33" s="1497" t="str">
        <f t="shared" si="14"/>
        <v>2020 г.</v>
      </c>
      <c r="W33" s="1497" t="str">
        <f t="shared" si="14"/>
        <v>2021 г.</v>
      </c>
    </row>
    <row r="34" spans="1:28" ht="21" customHeight="1">
      <c r="A34" s="760">
        <v>1</v>
      </c>
      <c r="B34" s="761" t="s">
        <v>507</v>
      </c>
      <c r="C34" s="1530"/>
      <c r="D34" s="2538"/>
      <c r="E34" s="2538">
        <v>42892</v>
      </c>
      <c r="F34" s="1530">
        <v>190644</v>
      </c>
      <c r="G34" s="2538">
        <f>744710+180000</f>
        <v>924710</v>
      </c>
      <c r="H34" s="2538">
        <f>910000+314951</f>
        <v>1224951</v>
      </c>
      <c r="I34" s="1530">
        <v>1200000</v>
      </c>
      <c r="J34" s="1530"/>
      <c r="K34" s="2538"/>
      <c r="L34" s="2538">
        <v>10</v>
      </c>
      <c r="M34" s="1530">
        <v>44.42</v>
      </c>
      <c r="N34" s="2538">
        <v>215.46</v>
      </c>
      <c r="O34" s="2538">
        <v>285.5</v>
      </c>
      <c r="P34" s="1530">
        <v>279.60000000000002</v>
      </c>
      <c r="Q34" s="2479">
        <f t="shared" ref="Q34:W37" si="15">IFERROR((J34*1000)/(C34/1000),0)</f>
        <v>0</v>
      </c>
      <c r="R34" s="2480">
        <f t="shared" si="15"/>
        <v>0</v>
      </c>
      <c r="S34" s="2479">
        <f t="shared" si="15"/>
        <v>233.14370978271003</v>
      </c>
      <c r="T34" s="2479">
        <f t="shared" si="15"/>
        <v>232.9997272403013</v>
      </c>
      <c r="U34" s="2479">
        <f t="shared" si="15"/>
        <v>233.0027792497107</v>
      </c>
      <c r="V34" s="2479">
        <f t="shared" si="15"/>
        <v>233.07054731168839</v>
      </c>
      <c r="W34" s="2479">
        <f t="shared" si="15"/>
        <v>233</v>
      </c>
    </row>
    <row r="35" spans="1:28" ht="24">
      <c r="A35" s="760">
        <v>2</v>
      </c>
      <c r="B35" s="761" t="s">
        <v>508</v>
      </c>
      <c r="C35" s="1530">
        <v>2099937</v>
      </c>
      <c r="D35" s="2538">
        <v>1871556</v>
      </c>
      <c r="E35" s="2538">
        <v>1980028</v>
      </c>
      <c r="F35" s="1530">
        <v>1900000</v>
      </c>
      <c r="G35" s="2538">
        <f>1900000+780000</f>
        <v>2680000</v>
      </c>
      <c r="H35" s="2538">
        <f>1800000+770000</f>
        <v>2570000</v>
      </c>
      <c r="I35" s="1530">
        <f>1750000+760000</f>
        <v>2510000</v>
      </c>
      <c r="J35" s="1530">
        <v>269</v>
      </c>
      <c r="K35" s="2538">
        <v>254</v>
      </c>
      <c r="L35" s="2538">
        <v>271</v>
      </c>
      <c r="M35" s="1530">
        <v>260</v>
      </c>
      <c r="N35" s="2538">
        <v>367</v>
      </c>
      <c r="O35" s="2538">
        <v>352</v>
      </c>
      <c r="P35" s="1530">
        <v>343</v>
      </c>
      <c r="Q35" s="2479">
        <f t="shared" si="15"/>
        <v>128.09908106767014</v>
      </c>
      <c r="R35" s="2479">
        <f t="shared" si="15"/>
        <v>135.71594972311809</v>
      </c>
      <c r="S35" s="2479">
        <f t="shared" si="15"/>
        <v>136.86675137927341</v>
      </c>
      <c r="T35" s="2479">
        <f t="shared" si="15"/>
        <v>136.84210526315789</v>
      </c>
      <c r="U35" s="2479">
        <f t="shared" si="15"/>
        <v>136.9402985074627</v>
      </c>
      <c r="V35" s="2479">
        <f t="shared" si="15"/>
        <v>136.96498054474708</v>
      </c>
      <c r="W35" s="2479">
        <f t="shared" si="15"/>
        <v>136.65338645418328</v>
      </c>
    </row>
    <row r="36" spans="1:28" ht="24">
      <c r="A36" s="760">
        <v>3</v>
      </c>
      <c r="B36" s="761" t="s">
        <v>509</v>
      </c>
      <c r="C36" s="1530"/>
      <c r="D36" s="2538"/>
      <c r="E36" s="2538"/>
      <c r="F36" s="1530"/>
      <c r="G36" s="2538"/>
      <c r="H36" s="2538"/>
      <c r="I36" s="1530"/>
      <c r="J36" s="1530"/>
      <c r="K36" s="2538"/>
      <c r="L36" s="2538"/>
      <c r="M36" s="1530"/>
      <c r="N36" s="2538"/>
      <c r="O36" s="2538"/>
      <c r="P36" s="1530"/>
      <c r="Q36" s="2479">
        <f t="shared" si="15"/>
        <v>0</v>
      </c>
      <c r="R36" s="2479">
        <f t="shared" si="15"/>
        <v>0</v>
      </c>
      <c r="S36" s="2479">
        <f t="shared" si="15"/>
        <v>0</v>
      </c>
      <c r="T36" s="2479">
        <f t="shared" si="15"/>
        <v>0</v>
      </c>
      <c r="U36" s="2479">
        <f t="shared" si="15"/>
        <v>0</v>
      </c>
      <c r="V36" s="2479">
        <f t="shared" si="15"/>
        <v>0</v>
      </c>
      <c r="W36" s="2479">
        <f t="shared" si="15"/>
        <v>0</v>
      </c>
    </row>
    <row r="37" spans="1:28" ht="24.75" customHeight="1">
      <c r="A37" s="2484">
        <v>4</v>
      </c>
      <c r="B37" s="2500" t="s">
        <v>506</v>
      </c>
      <c r="C37" s="2484">
        <f>C34+C35+C36</f>
        <v>2099937</v>
      </c>
      <c r="D37" s="2484">
        <f t="shared" ref="D37:P37" si="16">D34+D35+D36</f>
        <v>1871556</v>
      </c>
      <c r="E37" s="2484">
        <f t="shared" si="16"/>
        <v>2022920</v>
      </c>
      <c r="F37" s="2484">
        <f t="shared" si="16"/>
        <v>2090644</v>
      </c>
      <c r="G37" s="2484">
        <f t="shared" si="16"/>
        <v>3604710</v>
      </c>
      <c r="H37" s="2484">
        <f t="shared" si="16"/>
        <v>3794951</v>
      </c>
      <c r="I37" s="2484">
        <f t="shared" si="16"/>
        <v>3710000</v>
      </c>
      <c r="J37" s="2484">
        <f t="shared" si="16"/>
        <v>269</v>
      </c>
      <c r="K37" s="2484">
        <f t="shared" si="16"/>
        <v>254</v>
      </c>
      <c r="L37" s="2484">
        <f t="shared" si="16"/>
        <v>281</v>
      </c>
      <c r="M37" s="2484">
        <f t="shared" si="16"/>
        <v>304.42</v>
      </c>
      <c r="N37" s="2484">
        <f t="shared" si="16"/>
        <v>582.46</v>
      </c>
      <c r="O37" s="2484">
        <f t="shared" si="16"/>
        <v>637.5</v>
      </c>
      <c r="P37" s="2484">
        <f t="shared" si="16"/>
        <v>622.6</v>
      </c>
      <c r="Q37" s="2481">
        <f t="shared" si="15"/>
        <v>128.09908106767014</v>
      </c>
      <c r="R37" s="2481">
        <f t="shared" si="15"/>
        <v>135.71594972311809</v>
      </c>
      <c r="S37" s="2481">
        <f t="shared" si="15"/>
        <v>138.90811302473651</v>
      </c>
      <c r="T37" s="2481">
        <f t="shared" si="15"/>
        <v>145.61063480917844</v>
      </c>
      <c r="U37" s="2481">
        <f t="shared" si="15"/>
        <v>161.58303996715409</v>
      </c>
      <c r="V37" s="2481">
        <f t="shared" si="15"/>
        <v>167.98635871714814</v>
      </c>
      <c r="W37" s="2481">
        <f t="shared" si="15"/>
        <v>167.81671159029651</v>
      </c>
    </row>
    <row r="38" spans="1:28" ht="21.75" customHeight="1">
      <c r="A38" s="2501">
        <v>5</v>
      </c>
      <c r="B38" s="767" t="s">
        <v>511</v>
      </c>
      <c r="C38" s="2498"/>
      <c r="D38" s="2502">
        <f t="shared" ref="D38:I38" si="17">D37-C37</f>
        <v>-228381</v>
      </c>
      <c r="E38" s="2502">
        <f t="shared" si="17"/>
        <v>151364</v>
      </c>
      <c r="F38" s="2502">
        <f t="shared" si="17"/>
        <v>67724</v>
      </c>
      <c r="G38" s="2502">
        <f t="shared" si="17"/>
        <v>1514066</v>
      </c>
      <c r="H38" s="2502">
        <f t="shared" si="17"/>
        <v>190241</v>
      </c>
      <c r="I38" s="2502">
        <f t="shared" si="17"/>
        <v>-84951</v>
      </c>
      <c r="J38" s="2498"/>
      <c r="K38" s="2502">
        <f t="shared" ref="K38:P38" si="18">K37-J37</f>
        <v>-15</v>
      </c>
      <c r="L38" s="2502">
        <f t="shared" si="18"/>
        <v>27</v>
      </c>
      <c r="M38" s="2502">
        <f t="shared" si="18"/>
        <v>23.420000000000016</v>
      </c>
      <c r="N38" s="2502">
        <f t="shared" si="18"/>
        <v>278.04000000000002</v>
      </c>
      <c r="O38" s="2502">
        <f t="shared" si="18"/>
        <v>55.039999999999964</v>
      </c>
      <c r="P38" s="2502">
        <f t="shared" si="18"/>
        <v>-14.899999999999977</v>
      </c>
      <c r="Q38" s="2498"/>
      <c r="R38" s="2499">
        <f t="shared" ref="R38:W38" si="19">R37-Q37</f>
        <v>7.616868655447945</v>
      </c>
      <c r="S38" s="2499">
        <f t="shared" si="19"/>
        <v>3.1921633016184217</v>
      </c>
      <c r="T38" s="2499">
        <f t="shared" si="19"/>
        <v>6.7025217844419274</v>
      </c>
      <c r="U38" s="2499">
        <f t="shared" si="19"/>
        <v>15.972405157975658</v>
      </c>
      <c r="V38" s="2499">
        <f t="shared" si="19"/>
        <v>6.4033187499940425</v>
      </c>
      <c r="W38" s="2499">
        <f t="shared" si="19"/>
        <v>-0.16964712685162908</v>
      </c>
    </row>
    <row r="39" spans="1:28" ht="24">
      <c r="A39" s="2503">
        <v>6</v>
      </c>
      <c r="B39" s="2496" t="s">
        <v>1190</v>
      </c>
      <c r="C39" s="2486">
        <f>C37/'2. Променливи'!E64</f>
        <v>0.19216002029270693</v>
      </c>
      <c r="D39" s="2486">
        <f>D37/'2. Променливи'!F64</f>
        <v>0.17060674567000911</v>
      </c>
      <c r="E39" s="2486">
        <f>E37/'2. Променливи'!G64</f>
        <v>0.18511238587182505</v>
      </c>
      <c r="F39" s="2486">
        <f>F37/'2. Променливи'!H64</f>
        <v>0.18810905164657188</v>
      </c>
      <c r="G39" s="2486">
        <f>G37/'2. Променливи'!I64</f>
        <v>0.2634155431327414</v>
      </c>
      <c r="H39" s="2486">
        <f>H37/'2. Променливи'!J64</f>
        <v>0.27485702904323894</v>
      </c>
      <c r="I39" s="2486">
        <f>I37/'2. Променливи'!K64</f>
        <v>0.26870428043745925</v>
      </c>
      <c r="J39" s="2482"/>
      <c r="K39" s="2482"/>
      <c r="L39" s="2482"/>
      <c r="M39" s="2482"/>
      <c r="N39" s="2482"/>
      <c r="O39" s="2482"/>
      <c r="P39" s="2482"/>
      <c r="Q39" s="1498"/>
      <c r="R39" s="1498"/>
      <c r="S39" s="1498"/>
      <c r="T39" s="1498"/>
      <c r="U39" s="1498"/>
      <c r="V39" s="1498"/>
      <c r="W39" s="1498"/>
    </row>
    <row r="40" spans="1:28" ht="24">
      <c r="A40" s="2503">
        <v>7</v>
      </c>
      <c r="B40" s="2496" t="s">
        <v>1189</v>
      </c>
      <c r="C40" s="2486">
        <f>C37/'4. Отчет и прогн. потребление'!D63</f>
        <v>0.45578413936473938</v>
      </c>
      <c r="D40" s="2486">
        <f>D37/'4. Отчет и прогн. потребление'!E63</f>
        <v>0.40886066187787151</v>
      </c>
      <c r="E40" s="2486">
        <f>E37/'4. Отчет и прогн. потребление'!F63</f>
        <v>0.43506066680254041</v>
      </c>
      <c r="F40" s="2486">
        <f>F37/'4. Отчет и прогн. потребление'!G63</f>
        <v>0.43194772935040887</v>
      </c>
      <c r="G40" s="2486">
        <f>G37/'4. Отчет и прогн. потребление'!H63</f>
        <v>0.62938648999203706</v>
      </c>
      <c r="H40" s="2486">
        <f>H37/'4. Отчет и прогн. потребление'!I63</f>
        <v>0.65618329473511727</v>
      </c>
      <c r="I40" s="2486">
        <f>I37/'4. Отчет и прогн. потребление'!J63</f>
        <v>0.64599220746506969</v>
      </c>
      <c r="J40" s="2482"/>
      <c r="K40" s="2482"/>
      <c r="L40" s="2482"/>
      <c r="M40" s="2482"/>
      <c r="N40" s="2482"/>
      <c r="O40" s="2482"/>
      <c r="P40" s="2482"/>
      <c r="Q40" s="1498"/>
      <c r="R40" s="1498"/>
      <c r="S40" s="1498"/>
      <c r="T40" s="1498"/>
      <c r="U40" s="1498"/>
      <c r="V40" s="1498"/>
      <c r="W40" s="1498"/>
    </row>
    <row r="41" spans="1:28" s="1493" customFormat="1" ht="11.25" customHeight="1">
      <c r="A41" s="2497"/>
      <c r="B41" s="596"/>
      <c r="C41" s="2492"/>
      <c r="D41" s="2493"/>
      <c r="E41" s="2494"/>
      <c r="F41" s="2494"/>
      <c r="G41" s="2494"/>
      <c r="H41" s="2494"/>
      <c r="I41" s="2494"/>
      <c r="J41" s="2492"/>
      <c r="K41" s="2493"/>
      <c r="L41" s="2494"/>
      <c r="M41" s="2494"/>
      <c r="N41" s="2494"/>
      <c r="O41" s="2494"/>
      <c r="P41" s="2494"/>
      <c r="Q41" s="1500"/>
      <c r="R41" s="1501"/>
      <c r="S41" s="1502"/>
      <c r="T41" s="1502"/>
      <c r="U41" s="1502"/>
      <c r="V41" s="1502"/>
      <c r="W41" s="1502"/>
      <c r="X41" s="1494"/>
      <c r="Y41" s="1494"/>
      <c r="Z41" s="1494"/>
      <c r="AA41" s="1494"/>
      <c r="AB41" s="1494"/>
    </row>
    <row r="42" spans="1:28" s="1493" customFormat="1" ht="23.25" customHeight="1">
      <c r="A42" s="3453" t="s">
        <v>913</v>
      </c>
      <c r="B42" s="3454"/>
      <c r="C42" s="3455"/>
      <c r="D42" s="2488"/>
      <c r="E42" s="2489"/>
      <c r="F42" s="2489"/>
      <c r="G42" s="2489"/>
      <c r="H42" s="2489"/>
      <c r="I42" s="2490"/>
      <c r="J42" s="2491">
        <f>J37-'12. Разходи'!Q17</f>
        <v>0</v>
      </c>
      <c r="K42" s="2491">
        <f>K37-'12. Разходи'!R17</f>
        <v>0</v>
      </c>
      <c r="L42" s="2491">
        <f>L37-'12. Разходи'!S17</f>
        <v>0</v>
      </c>
      <c r="M42" s="3023">
        <f>M37-'12. Разходи'!T17</f>
        <v>0</v>
      </c>
      <c r="N42" s="3023">
        <f>N37-'12. Разходи'!U17</f>
        <v>0</v>
      </c>
      <c r="O42" s="3023">
        <f>O37-'12. Разходи'!V17</f>
        <v>0</v>
      </c>
      <c r="P42" s="3023">
        <f>P37-'12. Разходи'!W17</f>
        <v>0</v>
      </c>
      <c r="Q42" s="1500"/>
      <c r="R42" s="1501"/>
      <c r="S42" s="1502"/>
      <c r="T42" s="1502"/>
      <c r="U42" s="1502"/>
      <c r="V42" s="1502"/>
      <c r="W42" s="1502"/>
      <c r="X42" s="1494"/>
      <c r="Y42" s="1494"/>
      <c r="Z42" s="1494"/>
      <c r="AA42" s="1494"/>
      <c r="AB42" s="1494"/>
    </row>
    <row r="43" spans="1:28" s="1493" customFormat="1" ht="15">
      <c r="A43" s="1499"/>
      <c r="B43" s="596"/>
      <c r="C43" s="1500"/>
      <c r="D43" s="1501"/>
      <c r="E43" s="1502"/>
      <c r="F43" s="1502"/>
      <c r="G43" s="1502"/>
      <c r="H43" s="1502"/>
      <c r="I43" s="1502"/>
      <c r="J43" s="1500"/>
      <c r="K43" s="1501"/>
      <c r="L43" s="1502"/>
      <c r="M43" s="1502"/>
      <c r="N43" s="1502"/>
      <c r="O43" s="1502"/>
      <c r="P43" s="1502"/>
      <c r="Q43" s="1500"/>
      <c r="R43" s="1501"/>
      <c r="S43" s="1502"/>
      <c r="T43" s="1502"/>
      <c r="U43" s="1502"/>
      <c r="V43" s="1502"/>
      <c r="W43" s="1502"/>
      <c r="X43" s="1494"/>
      <c r="Y43" s="1494"/>
      <c r="Z43" s="1494"/>
      <c r="AA43" s="1494"/>
      <c r="AB43" s="1494"/>
    </row>
    <row r="44" spans="1:28" ht="23.25" customHeight="1">
      <c r="A44" s="3456" t="s">
        <v>1</v>
      </c>
      <c r="B44" s="3456" t="s">
        <v>502</v>
      </c>
      <c r="C44" s="3456" t="s">
        <v>510</v>
      </c>
      <c r="D44" s="3456"/>
      <c r="E44" s="3456"/>
      <c r="F44" s="3456"/>
      <c r="G44" s="3456"/>
      <c r="H44" s="3456"/>
      <c r="I44" s="3456"/>
      <c r="J44" s="3456"/>
      <c r="K44" s="3456"/>
      <c r="L44" s="3456"/>
      <c r="M44" s="3456"/>
      <c r="N44" s="3456"/>
      <c r="O44" s="3456"/>
      <c r="P44" s="3456"/>
      <c r="Q44" s="3456"/>
      <c r="R44" s="3456"/>
      <c r="S44" s="3456"/>
      <c r="T44" s="3456"/>
      <c r="U44" s="3456"/>
      <c r="V44" s="3456"/>
      <c r="W44" s="3456"/>
    </row>
    <row r="45" spans="1:28" ht="24.75" customHeight="1">
      <c r="A45" s="3457"/>
      <c r="B45" s="3457"/>
      <c r="C45" s="3458" t="s">
        <v>503</v>
      </c>
      <c r="D45" s="3458"/>
      <c r="E45" s="3458"/>
      <c r="F45" s="3458"/>
      <c r="G45" s="3458"/>
      <c r="H45" s="3458"/>
      <c r="I45" s="3458"/>
      <c r="J45" s="3458" t="s">
        <v>504</v>
      </c>
      <c r="K45" s="3458"/>
      <c r="L45" s="3458"/>
      <c r="M45" s="3458"/>
      <c r="N45" s="3458"/>
      <c r="O45" s="3458"/>
      <c r="P45" s="3458"/>
      <c r="Q45" s="3458" t="s">
        <v>512</v>
      </c>
      <c r="R45" s="3458"/>
      <c r="S45" s="3458"/>
      <c r="T45" s="3458"/>
      <c r="U45" s="3458"/>
      <c r="V45" s="3458"/>
      <c r="W45" s="3458"/>
    </row>
    <row r="46" spans="1:28" ht="26.25" customHeight="1">
      <c r="A46" s="3457"/>
      <c r="B46" s="3457"/>
      <c r="C46" s="1497" t="str">
        <f t="shared" ref="C46:I46" si="20">C33</f>
        <v>2015 г.</v>
      </c>
      <c r="D46" s="1497" t="str">
        <f t="shared" si="20"/>
        <v>2016 г.</v>
      </c>
      <c r="E46" s="1497" t="str">
        <f t="shared" si="20"/>
        <v>2017 г.</v>
      </c>
      <c r="F46" s="1497" t="str">
        <f t="shared" si="20"/>
        <v>2018 г.</v>
      </c>
      <c r="G46" s="1497" t="str">
        <f t="shared" si="20"/>
        <v>2019 г.</v>
      </c>
      <c r="H46" s="1497" t="str">
        <f t="shared" si="20"/>
        <v>2020 г.</v>
      </c>
      <c r="I46" s="1497" t="str">
        <f t="shared" si="20"/>
        <v>2021 г.</v>
      </c>
      <c r="J46" s="1497" t="str">
        <f t="shared" ref="J46:W46" si="21">C46</f>
        <v>2015 г.</v>
      </c>
      <c r="K46" s="1497" t="str">
        <f t="shared" si="21"/>
        <v>2016 г.</v>
      </c>
      <c r="L46" s="1497" t="str">
        <f t="shared" si="21"/>
        <v>2017 г.</v>
      </c>
      <c r="M46" s="1497" t="str">
        <f t="shared" si="21"/>
        <v>2018 г.</v>
      </c>
      <c r="N46" s="1497" t="str">
        <f t="shared" si="21"/>
        <v>2019 г.</v>
      </c>
      <c r="O46" s="1497" t="str">
        <f t="shared" si="21"/>
        <v>2020 г.</v>
      </c>
      <c r="P46" s="1497" t="str">
        <f t="shared" si="21"/>
        <v>2021 г.</v>
      </c>
      <c r="Q46" s="1497" t="str">
        <f t="shared" si="21"/>
        <v>2015 г.</v>
      </c>
      <c r="R46" s="1497" t="str">
        <f t="shared" si="21"/>
        <v>2016 г.</v>
      </c>
      <c r="S46" s="1497" t="str">
        <f t="shared" si="21"/>
        <v>2017 г.</v>
      </c>
      <c r="T46" s="1497" t="str">
        <f t="shared" si="21"/>
        <v>2018 г.</v>
      </c>
      <c r="U46" s="1497" t="str">
        <f t="shared" si="21"/>
        <v>2019 г.</v>
      </c>
      <c r="V46" s="1497" t="str">
        <f t="shared" si="21"/>
        <v>2020 г.</v>
      </c>
      <c r="W46" s="1497" t="str">
        <f t="shared" si="21"/>
        <v>2021 г.</v>
      </c>
    </row>
    <row r="47" spans="1:28" ht="24" customHeight="1">
      <c r="A47" s="760">
        <v>1</v>
      </c>
      <c r="B47" s="761" t="s">
        <v>507</v>
      </c>
      <c r="C47" s="2504">
        <f t="shared" ref="C47:P47" si="22">C9+C22+C34</f>
        <v>1051480</v>
      </c>
      <c r="D47" s="2505">
        <f t="shared" si="22"/>
        <v>1302696</v>
      </c>
      <c r="E47" s="2504">
        <f t="shared" si="22"/>
        <v>1651210</v>
      </c>
      <c r="F47" s="2504">
        <f t="shared" si="22"/>
        <v>1691714</v>
      </c>
      <c r="G47" s="2504">
        <f t="shared" si="22"/>
        <v>2425760</v>
      </c>
      <c r="H47" s="2504">
        <f t="shared" si="22"/>
        <v>4544751</v>
      </c>
      <c r="I47" s="2504">
        <f t="shared" si="22"/>
        <v>4312319</v>
      </c>
      <c r="J47" s="2504">
        <f t="shared" si="22"/>
        <v>251.27199999999999</v>
      </c>
      <c r="K47" s="2505">
        <f t="shared" si="22"/>
        <v>255.227</v>
      </c>
      <c r="L47" s="2504">
        <f t="shared" si="22"/>
        <v>327.22699999999998</v>
      </c>
      <c r="M47" s="2504">
        <f t="shared" si="22"/>
        <v>340.49700000000001</v>
      </c>
      <c r="N47" s="2504">
        <f t="shared" si="22"/>
        <v>511.53300000000002</v>
      </c>
      <c r="O47" s="2504">
        <f t="shared" si="22"/>
        <v>940.2829999999999</v>
      </c>
      <c r="P47" s="2504">
        <f t="shared" si="22"/>
        <v>893.47299999999996</v>
      </c>
      <c r="Q47" s="2479">
        <f t="shared" ref="Q47:Q55" si="23">IFERROR((J47*1000)/(C47/1000),0)</f>
        <v>238.96983299729905</v>
      </c>
      <c r="R47" s="2480">
        <f t="shared" ref="R47:R55" si="24">IFERROR((K47*1000)/(D47/1000),0)</f>
        <v>195.92214914300806</v>
      </c>
      <c r="S47" s="2479">
        <f t="shared" ref="S47:S55" si="25">IFERROR((L47*1000)/(E47/1000),0)</f>
        <v>198.1740662907807</v>
      </c>
      <c r="T47" s="2479">
        <f t="shared" ref="T47:T55" si="26">IFERROR((M47*1000)/(F47/1000),0)</f>
        <v>201.27338308957661</v>
      </c>
      <c r="U47" s="2479">
        <f t="shared" ref="U47:U55" si="27">IFERROR((N47*1000)/(G47/1000),0)</f>
        <v>210.8753545280654</v>
      </c>
      <c r="V47" s="2479">
        <f t="shared" ref="V47:V55" si="28">IFERROR((O47*1000)/(H47/1000),0)</f>
        <v>206.89428309713773</v>
      </c>
      <c r="W47" s="2479">
        <f t="shared" ref="W47:W55" si="29">IFERROR((P47*1000)/(I47/1000),0)</f>
        <v>207.19084093732397</v>
      </c>
    </row>
    <row r="48" spans="1:28" ht="24">
      <c r="A48" s="760">
        <v>2</v>
      </c>
      <c r="B48" s="761" t="s">
        <v>508</v>
      </c>
      <c r="C48" s="2504">
        <f t="shared" ref="C48:P48" si="30">C10+C23+C35</f>
        <v>2326079</v>
      </c>
      <c r="D48" s="2504">
        <f t="shared" si="30"/>
        <v>2114986</v>
      </c>
      <c r="E48" s="2504">
        <f t="shared" si="30"/>
        <v>2193187</v>
      </c>
      <c r="F48" s="2504">
        <f t="shared" si="30"/>
        <v>2115500</v>
      </c>
      <c r="G48" s="2504">
        <f t="shared" si="30"/>
        <v>2890000</v>
      </c>
      <c r="H48" s="2504">
        <f t="shared" si="30"/>
        <v>2770500</v>
      </c>
      <c r="I48" s="2504">
        <f t="shared" si="30"/>
        <v>2705000</v>
      </c>
      <c r="J48" s="2504">
        <f t="shared" si="30"/>
        <v>305</v>
      </c>
      <c r="K48" s="2504">
        <f t="shared" si="30"/>
        <v>294</v>
      </c>
      <c r="L48" s="2504">
        <f t="shared" si="30"/>
        <v>307</v>
      </c>
      <c r="M48" s="2504">
        <f t="shared" si="30"/>
        <v>296.39499999999998</v>
      </c>
      <c r="N48" s="2504">
        <f t="shared" si="30"/>
        <v>402.46600000000001</v>
      </c>
      <c r="O48" s="2504">
        <f t="shared" si="30"/>
        <v>385.86200000000002</v>
      </c>
      <c r="P48" s="2504">
        <f t="shared" si="30"/>
        <v>375.93299999999999</v>
      </c>
      <c r="Q48" s="2479">
        <f t="shared" si="23"/>
        <v>131.12194383767704</v>
      </c>
      <c r="R48" s="2479">
        <f t="shared" si="24"/>
        <v>139.00801234618103</v>
      </c>
      <c r="S48" s="2479">
        <f t="shared" si="25"/>
        <v>139.97894388394607</v>
      </c>
      <c r="T48" s="2479">
        <f t="shared" si="26"/>
        <v>140.10635783502718</v>
      </c>
      <c r="U48" s="2479">
        <f t="shared" si="27"/>
        <v>139.26159169550172</v>
      </c>
      <c r="V48" s="2479">
        <f t="shared" si="28"/>
        <v>139.27522107922758</v>
      </c>
      <c r="W48" s="2479">
        <f t="shared" si="29"/>
        <v>138.97707948243993</v>
      </c>
    </row>
    <row r="49" spans="1:23" ht="24.75" thickBot="1">
      <c r="A49" s="768">
        <v>3</v>
      </c>
      <c r="B49" s="767" t="s">
        <v>509</v>
      </c>
      <c r="C49" s="2506">
        <f t="shared" ref="C49:P49" si="31">C11+C24+C36</f>
        <v>0</v>
      </c>
      <c r="D49" s="2506">
        <f t="shared" si="31"/>
        <v>0</v>
      </c>
      <c r="E49" s="2506">
        <f t="shared" si="31"/>
        <v>0</v>
      </c>
      <c r="F49" s="2506">
        <f t="shared" si="31"/>
        <v>0</v>
      </c>
      <c r="G49" s="2506">
        <f t="shared" si="31"/>
        <v>0</v>
      </c>
      <c r="H49" s="2506">
        <f t="shared" si="31"/>
        <v>0</v>
      </c>
      <c r="I49" s="2506">
        <f t="shared" si="31"/>
        <v>0</v>
      </c>
      <c r="J49" s="2506">
        <f t="shared" si="31"/>
        <v>0</v>
      </c>
      <c r="K49" s="2506">
        <f t="shared" si="31"/>
        <v>0</v>
      </c>
      <c r="L49" s="2506">
        <f t="shared" si="31"/>
        <v>0</v>
      </c>
      <c r="M49" s="2506">
        <f t="shared" si="31"/>
        <v>0</v>
      </c>
      <c r="N49" s="2506">
        <f t="shared" si="31"/>
        <v>0</v>
      </c>
      <c r="O49" s="2506">
        <f t="shared" si="31"/>
        <v>0</v>
      </c>
      <c r="P49" s="2506">
        <f t="shared" si="31"/>
        <v>0</v>
      </c>
      <c r="Q49" s="2507">
        <f t="shared" si="23"/>
        <v>0</v>
      </c>
      <c r="R49" s="2507">
        <f t="shared" si="24"/>
        <v>0</v>
      </c>
      <c r="S49" s="2507">
        <f t="shared" si="25"/>
        <v>0</v>
      </c>
      <c r="T49" s="2507">
        <f t="shared" si="26"/>
        <v>0</v>
      </c>
      <c r="U49" s="2507">
        <f t="shared" si="27"/>
        <v>0</v>
      </c>
      <c r="V49" s="2507">
        <f t="shared" si="28"/>
        <v>0</v>
      </c>
      <c r="W49" s="2507">
        <f t="shared" si="29"/>
        <v>0</v>
      </c>
    </row>
    <row r="50" spans="1:23" ht="24.75" thickBot="1">
      <c r="A50" s="2565">
        <v>4</v>
      </c>
      <c r="B50" s="2566" t="s">
        <v>1191</v>
      </c>
      <c r="C50" s="2508">
        <f>C47+C48+C49</f>
        <v>3377559</v>
      </c>
      <c r="D50" s="2508">
        <f t="shared" ref="D50:P50" si="32">D47+D48+D49</f>
        <v>3417682</v>
      </c>
      <c r="E50" s="2508">
        <f t="shared" si="32"/>
        <v>3844397</v>
      </c>
      <c r="F50" s="2508">
        <f t="shared" si="32"/>
        <v>3807214</v>
      </c>
      <c r="G50" s="2508">
        <f t="shared" si="32"/>
        <v>5315760</v>
      </c>
      <c r="H50" s="2508">
        <f t="shared" si="32"/>
        <v>7315251</v>
      </c>
      <c r="I50" s="2508">
        <f t="shared" si="32"/>
        <v>7017319</v>
      </c>
      <c r="J50" s="2508">
        <f t="shared" si="32"/>
        <v>556.27199999999993</v>
      </c>
      <c r="K50" s="2508">
        <f t="shared" si="32"/>
        <v>549.22699999999998</v>
      </c>
      <c r="L50" s="2508">
        <f t="shared" si="32"/>
        <v>634.22699999999998</v>
      </c>
      <c r="M50" s="2508">
        <f t="shared" si="32"/>
        <v>636.89200000000005</v>
      </c>
      <c r="N50" s="2508">
        <f t="shared" si="32"/>
        <v>913.99900000000002</v>
      </c>
      <c r="O50" s="2508">
        <f t="shared" si="32"/>
        <v>1326.145</v>
      </c>
      <c r="P50" s="2508">
        <f t="shared" si="32"/>
        <v>1269.4059999999999</v>
      </c>
      <c r="Q50" s="2509">
        <f t="shared" si="23"/>
        <v>164.69645681985122</v>
      </c>
      <c r="R50" s="2509">
        <f t="shared" si="24"/>
        <v>160.70161003861682</v>
      </c>
      <c r="S50" s="2509">
        <f t="shared" si="25"/>
        <v>164.97437699592419</v>
      </c>
      <c r="T50" s="2509">
        <f t="shared" si="26"/>
        <v>167.28557942894727</v>
      </c>
      <c r="U50" s="2509">
        <f t="shared" si="27"/>
        <v>171.94135927882371</v>
      </c>
      <c r="V50" s="2509">
        <f t="shared" si="28"/>
        <v>181.28496206076866</v>
      </c>
      <c r="W50" s="2510">
        <f t="shared" si="29"/>
        <v>180.89615136493009</v>
      </c>
    </row>
    <row r="51" spans="1:23" ht="24">
      <c r="A51" s="769">
        <v>5</v>
      </c>
      <c r="B51" s="770" t="s">
        <v>505</v>
      </c>
      <c r="C51" s="1530">
        <v>245250</v>
      </c>
      <c r="D51" s="2538">
        <v>323640</v>
      </c>
      <c r="E51" s="2538">
        <v>300000</v>
      </c>
      <c r="F51" s="1530">
        <v>300000</v>
      </c>
      <c r="G51" s="1530">
        <v>300000</v>
      </c>
      <c r="H51" s="2538">
        <f>300000+21498</f>
        <v>321498</v>
      </c>
      <c r="I51" s="2538">
        <f>300000+21498</f>
        <v>321498</v>
      </c>
      <c r="J51" s="1530">
        <v>51</v>
      </c>
      <c r="K51" s="2538">
        <v>64</v>
      </c>
      <c r="L51" s="2538">
        <v>60</v>
      </c>
      <c r="M51" s="1530">
        <v>60</v>
      </c>
      <c r="N51" s="1530">
        <v>60</v>
      </c>
      <c r="O51" s="2538">
        <v>64.3</v>
      </c>
      <c r="P51" s="1530">
        <v>64.3</v>
      </c>
      <c r="Q51" s="2511">
        <f t="shared" si="23"/>
        <v>207.95107033639144</v>
      </c>
      <c r="R51" s="2511">
        <f t="shared" si="24"/>
        <v>197.75058707205537</v>
      </c>
      <c r="S51" s="2511">
        <f t="shared" si="25"/>
        <v>200</v>
      </c>
      <c r="T51" s="2511">
        <f t="shared" si="26"/>
        <v>200</v>
      </c>
      <c r="U51" s="2511">
        <f t="shared" si="27"/>
        <v>200</v>
      </c>
      <c r="V51" s="2511">
        <f t="shared" si="28"/>
        <v>200.00124417570251</v>
      </c>
      <c r="W51" s="2511">
        <f t="shared" si="29"/>
        <v>200.00124417570251</v>
      </c>
    </row>
    <row r="52" spans="1:23" ht="24">
      <c r="A52" s="760">
        <v>6</v>
      </c>
      <c r="B52" s="761" t="s">
        <v>817</v>
      </c>
      <c r="C52" s="1530">
        <v>46187</v>
      </c>
      <c r="D52" s="2538">
        <v>56728</v>
      </c>
      <c r="E52" s="2538">
        <v>55000</v>
      </c>
      <c r="F52" s="1530">
        <v>55000</v>
      </c>
      <c r="G52" s="1530">
        <v>55000</v>
      </c>
      <c r="H52" s="1530">
        <v>55000</v>
      </c>
      <c r="I52" s="1530">
        <v>55000</v>
      </c>
      <c r="J52" s="1530">
        <v>8</v>
      </c>
      <c r="K52" s="2538">
        <v>10</v>
      </c>
      <c r="L52" s="2538">
        <v>10</v>
      </c>
      <c r="M52" s="1530">
        <v>10</v>
      </c>
      <c r="N52" s="1530">
        <v>10</v>
      </c>
      <c r="O52" s="2538">
        <v>10</v>
      </c>
      <c r="P52" s="1530">
        <v>10</v>
      </c>
      <c r="Q52" s="2479">
        <f t="shared" si="23"/>
        <v>173.20891159850174</v>
      </c>
      <c r="R52" s="2479">
        <f t="shared" si="24"/>
        <v>176.27979128472711</v>
      </c>
      <c r="S52" s="2479">
        <f t="shared" si="25"/>
        <v>181.81818181818181</v>
      </c>
      <c r="T52" s="2479">
        <f t="shared" si="26"/>
        <v>181.81818181818181</v>
      </c>
      <c r="U52" s="2479">
        <f t="shared" si="27"/>
        <v>181.81818181818181</v>
      </c>
      <c r="V52" s="2479">
        <f t="shared" si="28"/>
        <v>181.81818181818181</v>
      </c>
      <c r="W52" s="2479">
        <f t="shared" si="29"/>
        <v>181.81818181818181</v>
      </c>
    </row>
    <row r="53" spans="1:23" ht="24">
      <c r="A53" s="769">
        <v>7</v>
      </c>
      <c r="B53" s="761" t="s">
        <v>1473</v>
      </c>
      <c r="C53" s="1530"/>
      <c r="D53" s="2538"/>
      <c r="E53" s="2538"/>
      <c r="F53" s="1530"/>
      <c r="G53" s="2538"/>
      <c r="H53" s="2538"/>
      <c r="I53" s="1530"/>
      <c r="J53" s="1530"/>
      <c r="K53" s="2538"/>
      <c r="L53" s="2538"/>
      <c r="M53" s="1530"/>
      <c r="N53" s="2538"/>
      <c r="O53" s="2538"/>
      <c r="P53" s="1530"/>
      <c r="Q53" s="2479">
        <f t="shared" ref="Q53:W54" si="33">IFERROR((J53*1000)/(C53/1000),0)</f>
        <v>0</v>
      </c>
      <c r="R53" s="2479">
        <f t="shared" si="33"/>
        <v>0</v>
      </c>
      <c r="S53" s="2479">
        <f t="shared" si="33"/>
        <v>0</v>
      </c>
      <c r="T53" s="2479">
        <f t="shared" si="33"/>
        <v>0</v>
      </c>
      <c r="U53" s="2479">
        <f t="shared" si="33"/>
        <v>0</v>
      </c>
      <c r="V53" s="2479">
        <f t="shared" si="33"/>
        <v>0</v>
      </c>
      <c r="W53" s="2479">
        <f t="shared" si="33"/>
        <v>0</v>
      </c>
    </row>
    <row r="54" spans="1:23" ht="24.75" customHeight="1">
      <c r="A54" s="760">
        <v>8</v>
      </c>
      <c r="B54" s="761" t="s">
        <v>1474</v>
      </c>
      <c r="C54" s="1530"/>
      <c r="D54" s="2538"/>
      <c r="E54" s="2538"/>
      <c r="F54" s="1530"/>
      <c r="G54" s="2538"/>
      <c r="H54" s="2538"/>
      <c r="I54" s="1530"/>
      <c r="J54" s="1530"/>
      <c r="K54" s="2538"/>
      <c r="L54" s="2538"/>
      <c r="M54" s="1530"/>
      <c r="N54" s="2538"/>
      <c r="O54" s="2538"/>
      <c r="P54" s="1530"/>
      <c r="Q54" s="2479">
        <f t="shared" si="33"/>
        <v>0</v>
      </c>
      <c r="R54" s="2479">
        <f t="shared" si="33"/>
        <v>0</v>
      </c>
      <c r="S54" s="2479">
        <f t="shared" si="33"/>
        <v>0</v>
      </c>
      <c r="T54" s="2479">
        <f t="shared" si="33"/>
        <v>0</v>
      </c>
      <c r="U54" s="2479">
        <f t="shared" si="33"/>
        <v>0</v>
      </c>
      <c r="V54" s="2479">
        <f t="shared" si="33"/>
        <v>0</v>
      </c>
      <c r="W54" s="2479">
        <f t="shared" si="33"/>
        <v>0</v>
      </c>
    </row>
    <row r="55" spans="1:23" ht="24" customHeight="1">
      <c r="A55" s="2484">
        <v>9</v>
      </c>
      <c r="B55" s="2500" t="s">
        <v>506</v>
      </c>
      <c r="C55" s="2484">
        <f>C47+C48+C49+C51+C52+C53+C54</f>
        <v>3668996</v>
      </c>
      <c r="D55" s="2484">
        <f t="shared" ref="D55:P55" si="34">D47+D48+D49+D51+D52+D53+D54</f>
        <v>3798050</v>
      </c>
      <c r="E55" s="2484">
        <f t="shared" si="34"/>
        <v>4199397</v>
      </c>
      <c r="F55" s="2484">
        <f t="shared" si="34"/>
        <v>4162214</v>
      </c>
      <c r="G55" s="2484">
        <f t="shared" si="34"/>
        <v>5670760</v>
      </c>
      <c r="H55" s="2484">
        <f t="shared" si="34"/>
        <v>7691749</v>
      </c>
      <c r="I55" s="2484">
        <f t="shared" si="34"/>
        <v>7393817</v>
      </c>
      <c r="J55" s="2484">
        <f t="shared" si="34"/>
        <v>615.27199999999993</v>
      </c>
      <c r="K55" s="2484">
        <f t="shared" si="34"/>
        <v>623.22699999999998</v>
      </c>
      <c r="L55" s="2484">
        <f t="shared" si="34"/>
        <v>704.22699999999998</v>
      </c>
      <c r="M55" s="2484">
        <f t="shared" si="34"/>
        <v>706.89200000000005</v>
      </c>
      <c r="N55" s="2484">
        <f t="shared" si="34"/>
        <v>983.99900000000002</v>
      </c>
      <c r="O55" s="2484">
        <f t="shared" si="34"/>
        <v>1400.4449999999999</v>
      </c>
      <c r="P55" s="2484">
        <f t="shared" si="34"/>
        <v>1343.7059999999999</v>
      </c>
      <c r="Q55" s="2481">
        <f t="shared" si="23"/>
        <v>167.69492253466612</v>
      </c>
      <c r="R55" s="2481">
        <f t="shared" si="24"/>
        <v>164.09131001434946</v>
      </c>
      <c r="S55" s="2481">
        <f t="shared" si="25"/>
        <v>167.69717176061229</v>
      </c>
      <c r="T55" s="2481">
        <f t="shared" si="26"/>
        <v>169.8355730868235</v>
      </c>
      <c r="U55" s="2481">
        <f t="shared" si="27"/>
        <v>173.52153855920545</v>
      </c>
      <c r="V55" s="2481">
        <f t="shared" si="28"/>
        <v>182.07107382209171</v>
      </c>
      <c r="W55" s="2481">
        <f t="shared" si="29"/>
        <v>181.73373779740558</v>
      </c>
    </row>
    <row r="57" spans="1:23" ht="21" customHeight="1">
      <c r="A57" s="3456" t="s">
        <v>1</v>
      </c>
      <c r="B57" s="3456" t="s">
        <v>502</v>
      </c>
      <c r="C57" s="3456" t="s">
        <v>513</v>
      </c>
      <c r="D57" s="3456"/>
      <c r="E57" s="3456"/>
      <c r="F57" s="3456"/>
      <c r="G57" s="3456"/>
      <c r="H57" s="3456"/>
      <c r="I57" s="3456"/>
      <c r="J57" s="3456"/>
      <c r="K57" s="3456"/>
      <c r="L57" s="3456"/>
      <c r="M57" s="3456"/>
      <c r="N57" s="3456"/>
      <c r="O57" s="3456"/>
      <c r="P57" s="3456"/>
    </row>
    <row r="58" spans="1:23" ht="21" customHeight="1">
      <c r="A58" s="3457"/>
      <c r="B58" s="3457"/>
      <c r="C58" s="3458" t="s">
        <v>503</v>
      </c>
      <c r="D58" s="3458"/>
      <c r="E58" s="3458"/>
      <c r="F58" s="3458"/>
      <c r="G58" s="3458"/>
      <c r="H58" s="3458"/>
      <c r="I58" s="3458"/>
      <c r="J58" s="3458" t="s">
        <v>1192</v>
      </c>
      <c r="K58" s="3458"/>
      <c r="L58" s="3458"/>
      <c r="M58" s="3458"/>
      <c r="N58" s="3458"/>
      <c r="O58" s="3458"/>
      <c r="P58" s="3458"/>
    </row>
    <row r="59" spans="1:23" ht="21.75" customHeight="1">
      <c r="A59" s="3457"/>
      <c r="B59" s="3457"/>
      <c r="C59" s="1497" t="str">
        <f>C46</f>
        <v>2015 г.</v>
      </c>
      <c r="D59" s="1497" t="str">
        <f t="shared" ref="D59:I59" si="35">D46</f>
        <v>2016 г.</v>
      </c>
      <c r="E59" s="1497" t="str">
        <f t="shared" si="35"/>
        <v>2017 г.</v>
      </c>
      <c r="F59" s="1497" t="str">
        <f t="shared" si="35"/>
        <v>2018 г.</v>
      </c>
      <c r="G59" s="1497" t="str">
        <f t="shared" si="35"/>
        <v>2019 г.</v>
      </c>
      <c r="H59" s="1497" t="str">
        <f t="shared" si="35"/>
        <v>2020 г.</v>
      </c>
      <c r="I59" s="1497" t="str">
        <f t="shared" si="35"/>
        <v>2021 г.</v>
      </c>
      <c r="J59" s="1497" t="str">
        <f t="shared" ref="J59:P59" si="36">C59</f>
        <v>2015 г.</v>
      </c>
      <c r="K59" s="1497" t="str">
        <f t="shared" si="36"/>
        <v>2016 г.</v>
      </c>
      <c r="L59" s="1497" t="str">
        <f t="shared" si="36"/>
        <v>2017 г.</v>
      </c>
      <c r="M59" s="1497" t="str">
        <f t="shared" si="36"/>
        <v>2018 г.</v>
      </c>
      <c r="N59" s="1497" t="str">
        <f t="shared" si="36"/>
        <v>2019 г.</v>
      </c>
      <c r="O59" s="1497" t="str">
        <f t="shared" si="36"/>
        <v>2020 г.</v>
      </c>
      <c r="P59" s="1497" t="str">
        <f t="shared" si="36"/>
        <v>2021 г.</v>
      </c>
    </row>
    <row r="60" spans="1:23" ht="24">
      <c r="A60" s="760">
        <v>1</v>
      </c>
      <c r="B60" s="771" t="s">
        <v>931</v>
      </c>
      <c r="C60" s="1530"/>
      <c r="D60" s="1530"/>
      <c r="E60" s="1530"/>
      <c r="F60" s="1530"/>
      <c r="G60" s="1530"/>
      <c r="H60" s="1530"/>
      <c r="I60" s="1530"/>
      <c r="J60" s="1498"/>
      <c r="K60" s="1498"/>
      <c r="L60" s="1498"/>
      <c r="M60" s="1498"/>
      <c r="N60" s="1498"/>
      <c r="O60" s="1498"/>
      <c r="P60" s="1498"/>
    </row>
    <row r="61" spans="1:23" ht="24">
      <c r="A61" s="760">
        <v>2</v>
      </c>
      <c r="B61" s="771" t="s">
        <v>932</v>
      </c>
      <c r="C61" s="1530"/>
      <c r="D61" s="1530"/>
      <c r="E61" s="1530"/>
      <c r="F61" s="1530"/>
      <c r="G61" s="1530"/>
      <c r="H61" s="1530"/>
      <c r="I61" s="1530"/>
      <c r="J61" s="1498"/>
      <c r="K61" s="1498"/>
      <c r="L61" s="1498"/>
      <c r="M61" s="1498"/>
      <c r="N61" s="1498"/>
      <c r="O61" s="1498"/>
      <c r="P61" s="1498"/>
    </row>
    <row r="62" spans="1:23" ht="24">
      <c r="A62" s="768">
        <v>3</v>
      </c>
      <c r="B62" s="772" t="s">
        <v>933</v>
      </c>
      <c r="C62" s="1530"/>
      <c r="D62" s="1530"/>
      <c r="E62" s="1530"/>
      <c r="F62" s="1530"/>
      <c r="G62" s="1530"/>
      <c r="H62" s="1530"/>
      <c r="I62" s="1530"/>
      <c r="J62" s="1530"/>
      <c r="K62" s="1530"/>
      <c r="L62" s="1530"/>
      <c r="M62" s="1530"/>
      <c r="N62" s="1530"/>
      <c r="O62" s="1530"/>
      <c r="P62" s="1530"/>
    </row>
    <row r="63" spans="1:23" ht="24">
      <c r="A63" s="2495">
        <v>4</v>
      </c>
      <c r="B63" s="771" t="s">
        <v>1193</v>
      </c>
      <c r="C63" s="3463"/>
      <c r="D63" s="3463"/>
      <c r="E63" s="3463"/>
      <c r="F63" s="3463"/>
      <c r="G63" s="3463"/>
      <c r="H63" s="3463"/>
      <c r="I63" s="3463"/>
      <c r="J63" s="3463"/>
      <c r="K63" s="3463"/>
      <c r="L63" s="3463"/>
      <c r="M63" s="3463"/>
      <c r="N63" s="3463"/>
      <c r="O63" s="3463"/>
      <c r="P63" s="3463"/>
    </row>
    <row r="65" spans="1:28" ht="19.5" customHeight="1">
      <c r="A65" s="2567" t="s">
        <v>1</v>
      </c>
      <c r="B65" s="2568" t="s">
        <v>1475</v>
      </c>
      <c r="C65" s="1497" t="str">
        <f>C59</f>
        <v>2015 г.</v>
      </c>
      <c r="D65" s="1497" t="str">
        <f t="shared" ref="D65:I65" si="37">D59</f>
        <v>2016 г.</v>
      </c>
      <c r="E65" s="1497" t="str">
        <f t="shared" si="37"/>
        <v>2017 г.</v>
      </c>
      <c r="F65" s="1497" t="str">
        <f t="shared" si="37"/>
        <v>2018 г.</v>
      </c>
      <c r="G65" s="1497" t="str">
        <f t="shared" si="37"/>
        <v>2019 г.</v>
      </c>
      <c r="H65" s="1497" t="str">
        <f t="shared" si="37"/>
        <v>2020 г.</v>
      </c>
      <c r="I65" s="1497" t="str">
        <f t="shared" si="37"/>
        <v>2021 г.</v>
      </c>
    </row>
    <row r="66" spans="1:28" ht="36">
      <c r="A66" s="2569">
        <v>1</v>
      </c>
      <c r="B66" s="2570" t="s">
        <v>1510</v>
      </c>
      <c r="C66" s="2539"/>
      <c r="D66" s="2539"/>
      <c r="E66" s="2539"/>
      <c r="F66" s="2539"/>
      <c r="G66" s="2539"/>
      <c r="H66" s="2539"/>
      <c r="I66" s="2539"/>
    </row>
    <row r="67" spans="1:28" ht="36">
      <c r="A67" s="2569">
        <v>2</v>
      </c>
      <c r="B67" s="771" t="s">
        <v>1511</v>
      </c>
      <c r="C67" s="2539">
        <v>79.790000000000006</v>
      </c>
      <c r="D67" s="2539">
        <v>79.790000000000006</v>
      </c>
      <c r="E67" s="2539">
        <v>84.53</v>
      </c>
      <c r="F67" s="2539">
        <v>84.53</v>
      </c>
      <c r="G67" s="2539">
        <v>84.53</v>
      </c>
      <c r="H67" s="2539">
        <v>84.53</v>
      </c>
      <c r="I67" s="2539">
        <v>84.53</v>
      </c>
    </row>
    <row r="68" spans="1:28" ht="36">
      <c r="A68" s="2569">
        <v>3</v>
      </c>
      <c r="B68" s="771" t="s">
        <v>1512</v>
      </c>
      <c r="C68" s="2539"/>
      <c r="D68" s="2539"/>
      <c r="E68" s="2539"/>
      <c r="F68" s="2539"/>
      <c r="G68" s="2539"/>
      <c r="H68" s="2539"/>
      <c r="I68" s="2539"/>
    </row>
    <row r="71" spans="1:28">
      <c r="A71" s="1505"/>
      <c r="B71" s="1506" t="str">
        <f>'5. Персонал'!B43</f>
        <v>Дата: 27.08.2018 г.</v>
      </c>
      <c r="C71" s="1507"/>
      <c r="D71" s="1507"/>
      <c r="E71" s="1507"/>
      <c r="F71" s="1507"/>
      <c r="G71" s="1507"/>
    </row>
    <row r="72" spans="1:28">
      <c r="A72" s="1508"/>
      <c r="B72" s="1509"/>
      <c r="C72" s="1510"/>
      <c r="D72" s="1510"/>
      <c r="E72" s="1511" t="str">
        <f>'5. Персонал'!AR42</f>
        <v>Главен счетоводител:</v>
      </c>
      <c r="F72" s="1510" t="s">
        <v>4</v>
      </c>
      <c r="G72" s="1507"/>
    </row>
    <row r="73" spans="1:28">
      <c r="A73" s="1508"/>
      <c r="B73" s="1508"/>
      <c r="C73" s="1507"/>
      <c r="D73" s="1507"/>
      <c r="E73" s="1512"/>
      <c r="F73" s="1510"/>
      <c r="G73" s="1513" t="s">
        <v>246</v>
      </c>
    </row>
    <row r="74" spans="1:28">
      <c r="A74" s="1508"/>
      <c r="B74" s="1508"/>
      <c r="C74" s="1507"/>
      <c r="D74" s="1507"/>
      <c r="E74" s="1512"/>
      <c r="F74" s="1510"/>
      <c r="G74" s="1513"/>
    </row>
    <row r="75" spans="1:28" s="682" customFormat="1" ht="12">
      <c r="C75" s="1514"/>
      <c r="D75" s="1514"/>
      <c r="E75" s="1515"/>
      <c r="F75" s="1515"/>
      <c r="G75" s="1515"/>
      <c r="H75" s="1514"/>
      <c r="I75" s="1514"/>
      <c r="J75" s="1514"/>
      <c r="K75" s="1514"/>
      <c r="L75" s="1514"/>
      <c r="M75" s="1514"/>
      <c r="N75" s="1514"/>
      <c r="O75" s="1514"/>
      <c r="P75" s="1514"/>
      <c r="Q75" s="1514"/>
      <c r="R75" s="1514"/>
      <c r="S75" s="1514"/>
      <c r="T75" s="1514"/>
      <c r="U75" s="1514"/>
      <c r="V75" s="1514"/>
      <c r="W75" s="1514"/>
      <c r="X75" s="1514"/>
      <c r="Y75" s="1514"/>
      <c r="Z75" s="1514"/>
      <c r="AA75" s="1514"/>
      <c r="AB75" s="1514"/>
    </row>
    <row r="76" spans="1:28" s="681" customFormat="1">
      <c r="C76" s="1516"/>
      <c r="D76" s="1516"/>
      <c r="E76" s="1511" t="str">
        <f>'5. Персонал'!AR46</f>
        <v>Управител:</v>
      </c>
      <c r="F76" s="1510" t="s">
        <v>4</v>
      </c>
      <c r="G76" s="1507"/>
      <c r="H76" s="1491"/>
      <c r="I76" s="1517"/>
      <c r="J76" s="1516"/>
      <c r="K76" s="1518"/>
      <c r="L76" s="1516"/>
      <c r="M76" s="1516"/>
      <c r="N76" s="1516"/>
      <c r="O76" s="1516"/>
      <c r="P76" s="1516"/>
      <c r="Q76" s="1516"/>
      <c r="R76" s="1516"/>
      <c r="S76" s="1516"/>
      <c r="T76" s="1516"/>
      <c r="U76" s="1516"/>
      <c r="V76" s="1516"/>
      <c r="W76" s="1516"/>
      <c r="X76" s="1516"/>
      <c r="Y76" s="1516"/>
      <c r="Z76" s="1516"/>
      <c r="AA76" s="1516"/>
      <c r="AB76" s="1516"/>
    </row>
    <row r="77" spans="1:28">
      <c r="G77" s="1513" t="s">
        <v>6</v>
      </c>
    </row>
    <row r="80" spans="1:28">
      <c r="A80" s="3464" t="s">
        <v>247</v>
      </c>
      <c r="B80" s="3464"/>
      <c r="C80" s="3464"/>
      <c r="D80" s="3464"/>
    </row>
    <row r="81" spans="1:21">
      <c r="A81" s="3465" t="s">
        <v>248</v>
      </c>
      <c r="B81" s="3465"/>
      <c r="C81" s="3465"/>
      <c r="D81" s="3465"/>
    </row>
    <row r="82" spans="1:21" ht="36" customHeight="1">
      <c r="A82" s="3462" t="s">
        <v>1551</v>
      </c>
      <c r="B82" s="3462"/>
      <c r="C82" s="3462"/>
      <c r="D82" s="3462"/>
      <c r="E82" s="3462"/>
      <c r="F82" s="3462"/>
      <c r="G82" s="3462"/>
      <c r="H82" s="3462"/>
      <c r="I82" s="3462"/>
      <c r="J82" s="3462"/>
      <c r="K82" s="3462"/>
      <c r="L82" s="3462"/>
      <c r="M82" s="3462"/>
      <c r="N82" s="3462"/>
      <c r="O82" s="3462"/>
      <c r="P82" s="3462"/>
      <c r="Q82" s="3462"/>
      <c r="R82" s="3462"/>
      <c r="S82" s="3462"/>
      <c r="T82" s="3462"/>
      <c r="U82" s="3462"/>
    </row>
  </sheetData>
  <sheetProtection password="C6DB" sheet="1" objects="1" scenarios="1" formatCells="0" formatColumns="0" formatRows="0"/>
  <mergeCells count="40">
    <mergeCell ref="A82:U82"/>
    <mergeCell ref="J58:P58"/>
    <mergeCell ref="C57:P57"/>
    <mergeCell ref="C63:P63"/>
    <mergeCell ref="A80:D80"/>
    <mergeCell ref="A81:D81"/>
    <mergeCell ref="A57:A59"/>
    <mergeCell ref="B57:B59"/>
    <mergeCell ref="C58:I58"/>
    <mergeCell ref="V5:W5"/>
    <mergeCell ref="A2:W2"/>
    <mergeCell ref="A3:W3"/>
    <mergeCell ref="A4:W4"/>
    <mergeCell ref="A6:A8"/>
    <mergeCell ref="B6:B8"/>
    <mergeCell ref="C6:W6"/>
    <mergeCell ref="C7:I7"/>
    <mergeCell ref="J7:P7"/>
    <mergeCell ref="Q7:W7"/>
    <mergeCell ref="J32:P32"/>
    <mergeCell ref="Q32:W32"/>
    <mergeCell ref="C20:I20"/>
    <mergeCell ref="J20:P20"/>
    <mergeCell ref="Q20:W2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&amp;A&amp;RPage &amp;P</oddFooter>
  </headerFooter>
  <rowBreaks count="1" manualBreakCount="1">
    <brk id="42" max="2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N48"/>
  <sheetViews>
    <sheetView showGridLines="0"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H15" sqref="H15"/>
    </sheetView>
  </sheetViews>
  <sheetFormatPr defaultRowHeight="12.75"/>
  <cols>
    <col min="1" max="1" width="5.28515625" style="449" customWidth="1"/>
    <col min="2" max="2" width="67.5703125" style="26" bestFit="1" customWidth="1"/>
    <col min="3" max="3" width="10.28515625" style="26" customWidth="1"/>
    <col min="4" max="10" width="10.7109375" style="562" customWidth="1"/>
    <col min="11" max="11" width="9.140625" style="26"/>
    <col min="12" max="12" width="11.28515625" style="26" bestFit="1" customWidth="1"/>
    <col min="13" max="13" width="9.7109375" style="26" bestFit="1" customWidth="1"/>
    <col min="14" max="256" width="9.140625" style="26"/>
    <col min="257" max="257" width="5.28515625" style="26" customWidth="1"/>
    <col min="258" max="258" width="56.42578125" style="26" customWidth="1"/>
    <col min="259" max="259" width="10.28515625" style="26" customWidth="1"/>
    <col min="260" max="266" width="10.7109375" style="26" customWidth="1"/>
    <col min="267" max="267" width="9.140625" style="26"/>
    <col min="268" max="268" width="11.28515625" style="26" bestFit="1" customWidth="1"/>
    <col min="269" max="269" width="9.7109375" style="26" bestFit="1" customWidth="1"/>
    <col min="270" max="512" width="9.140625" style="26"/>
    <col min="513" max="513" width="5.28515625" style="26" customWidth="1"/>
    <col min="514" max="514" width="56.42578125" style="26" customWidth="1"/>
    <col min="515" max="515" width="10.28515625" style="26" customWidth="1"/>
    <col min="516" max="522" width="10.7109375" style="26" customWidth="1"/>
    <col min="523" max="523" width="9.140625" style="26"/>
    <col min="524" max="524" width="11.28515625" style="26" bestFit="1" customWidth="1"/>
    <col min="525" max="525" width="9.7109375" style="26" bestFit="1" customWidth="1"/>
    <col min="526" max="768" width="9.140625" style="26"/>
    <col min="769" max="769" width="5.28515625" style="26" customWidth="1"/>
    <col min="770" max="770" width="56.42578125" style="26" customWidth="1"/>
    <col min="771" max="771" width="10.28515625" style="26" customWidth="1"/>
    <col min="772" max="778" width="10.7109375" style="26" customWidth="1"/>
    <col min="779" max="779" width="9.140625" style="26"/>
    <col min="780" max="780" width="11.28515625" style="26" bestFit="1" customWidth="1"/>
    <col min="781" max="781" width="9.7109375" style="26" bestFit="1" customWidth="1"/>
    <col min="782" max="1024" width="9.140625" style="26"/>
    <col min="1025" max="1025" width="5.28515625" style="26" customWidth="1"/>
    <col min="1026" max="1026" width="56.42578125" style="26" customWidth="1"/>
    <col min="1027" max="1027" width="10.28515625" style="26" customWidth="1"/>
    <col min="1028" max="1034" width="10.7109375" style="26" customWidth="1"/>
    <col min="1035" max="1035" width="9.140625" style="26"/>
    <col min="1036" max="1036" width="11.28515625" style="26" bestFit="1" customWidth="1"/>
    <col min="1037" max="1037" width="9.7109375" style="26" bestFit="1" customWidth="1"/>
    <col min="1038" max="1280" width="9.140625" style="26"/>
    <col min="1281" max="1281" width="5.28515625" style="26" customWidth="1"/>
    <col min="1282" max="1282" width="56.42578125" style="26" customWidth="1"/>
    <col min="1283" max="1283" width="10.28515625" style="26" customWidth="1"/>
    <col min="1284" max="1290" width="10.7109375" style="26" customWidth="1"/>
    <col min="1291" max="1291" width="9.140625" style="26"/>
    <col min="1292" max="1292" width="11.28515625" style="26" bestFit="1" customWidth="1"/>
    <col min="1293" max="1293" width="9.7109375" style="26" bestFit="1" customWidth="1"/>
    <col min="1294" max="1536" width="9.140625" style="26"/>
    <col min="1537" max="1537" width="5.28515625" style="26" customWidth="1"/>
    <col min="1538" max="1538" width="56.42578125" style="26" customWidth="1"/>
    <col min="1539" max="1539" width="10.28515625" style="26" customWidth="1"/>
    <col min="1540" max="1546" width="10.7109375" style="26" customWidth="1"/>
    <col min="1547" max="1547" width="9.140625" style="26"/>
    <col min="1548" max="1548" width="11.28515625" style="26" bestFit="1" customWidth="1"/>
    <col min="1549" max="1549" width="9.7109375" style="26" bestFit="1" customWidth="1"/>
    <col min="1550" max="1792" width="9.140625" style="26"/>
    <col min="1793" max="1793" width="5.28515625" style="26" customWidth="1"/>
    <col min="1794" max="1794" width="56.42578125" style="26" customWidth="1"/>
    <col min="1795" max="1795" width="10.28515625" style="26" customWidth="1"/>
    <col min="1796" max="1802" width="10.7109375" style="26" customWidth="1"/>
    <col min="1803" max="1803" width="9.140625" style="26"/>
    <col min="1804" max="1804" width="11.28515625" style="26" bestFit="1" customWidth="1"/>
    <col min="1805" max="1805" width="9.7109375" style="26" bestFit="1" customWidth="1"/>
    <col min="1806" max="2048" width="9.140625" style="26"/>
    <col min="2049" max="2049" width="5.28515625" style="26" customWidth="1"/>
    <col min="2050" max="2050" width="56.42578125" style="26" customWidth="1"/>
    <col min="2051" max="2051" width="10.28515625" style="26" customWidth="1"/>
    <col min="2052" max="2058" width="10.7109375" style="26" customWidth="1"/>
    <col min="2059" max="2059" width="9.140625" style="26"/>
    <col min="2060" max="2060" width="11.28515625" style="26" bestFit="1" customWidth="1"/>
    <col min="2061" max="2061" width="9.7109375" style="26" bestFit="1" customWidth="1"/>
    <col min="2062" max="2304" width="9.140625" style="26"/>
    <col min="2305" max="2305" width="5.28515625" style="26" customWidth="1"/>
    <col min="2306" max="2306" width="56.42578125" style="26" customWidth="1"/>
    <col min="2307" max="2307" width="10.28515625" style="26" customWidth="1"/>
    <col min="2308" max="2314" width="10.7109375" style="26" customWidth="1"/>
    <col min="2315" max="2315" width="9.140625" style="26"/>
    <col min="2316" max="2316" width="11.28515625" style="26" bestFit="1" customWidth="1"/>
    <col min="2317" max="2317" width="9.7109375" style="26" bestFit="1" customWidth="1"/>
    <col min="2318" max="2560" width="9.140625" style="26"/>
    <col min="2561" max="2561" width="5.28515625" style="26" customWidth="1"/>
    <col min="2562" max="2562" width="56.42578125" style="26" customWidth="1"/>
    <col min="2563" max="2563" width="10.28515625" style="26" customWidth="1"/>
    <col min="2564" max="2570" width="10.7109375" style="26" customWidth="1"/>
    <col min="2571" max="2571" width="9.140625" style="26"/>
    <col min="2572" max="2572" width="11.28515625" style="26" bestFit="1" customWidth="1"/>
    <col min="2573" max="2573" width="9.7109375" style="26" bestFit="1" customWidth="1"/>
    <col min="2574" max="2816" width="9.140625" style="26"/>
    <col min="2817" max="2817" width="5.28515625" style="26" customWidth="1"/>
    <col min="2818" max="2818" width="56.42578125" style="26" customWidth="1"/>
    <col min="2819" max="2819" width="10.28515625" style="26" customWidth="1"/>
    <col min="2820" max="2826" width="10.7109375" style="26" customWidth="1"/>
    <col min="2827" max="2827" width="9.140625" style="26"/>
    <col min="2828" max="2828" width="11.28515625" style="26" bestFit="1" customWidth="1"/>
    <col min="2829" max="2829" width="9.7109375" style="26" bestFit="1" customWidth="1"/>
    <col min="2830" max="3072" width="9.140625" style="26"/>
    <col min="3073" max="3073" width="5.28515625" style="26" customWidth="1"/>
    <col min="3074" max="3074" width="56.42578125" style="26" customWidth="1"/>
    <col min="3075" max="3075" width="10.28515625" style="26" customWidth="1"/>
    <col min="3076" max="3082" width="10.7109375" style="26" customWidth="1"/>
    <col min="3083" max="3083" width="9.140625" style="26"/>
    <col min="3084" max="3084" width="11.28515625" style="26" bestFit="1" customWidth="1"/>
    <col min="3085" max="3085" width="9.7109375" style="26" bestFit="1" customWidth="1"/>
    <col min="3086" max="3328" width="9.140625" style="26"/>
    <col min="3329" max="3329" width="5.28515625" style="26" customWidth="1"/>
    <col min="3330" max="3330" width="56.42578125" style="26" customWidth="1"/>
    <col min="3331" max="3331" width="10.28515625" style="26" customWidth="1"/>
    <col min="3332" max="3338" width="10.7109375" style="26" customWidth="1"/>
    <col min="3339" max="3339" width="9.140625" style="26"/>
    <col min="3340" max="3340" width="11.28515625" style="26" bestFit="1" customWidth="1"/>
    <col min="3341" max="3341" width="9.7109375" style="26" bestFit="1" customWidth="1"/>
    <col min="3342" max="3584" width="9.140625" style="26"/>
    <col min="3585" max="3585" width="5.28515625" style="26" customWidth="1"/>
    <col min="3586" max="3586" width="56.42578125" style="26" customWidth="1"/>
    <col min="3587" max="3587" width="10.28515625" style="26" customWidth="1"/>
    <col min="3588" max="3594" width="10.7109375" style="26" customWidth="1"/>
    <col min="3595" max="3595" width="9.140625" style="26"/>
    <col min="3596" max="3596" width="11.28515625" style="26" bestFit="1" customWidth="1"/>
    <col min="3597" max="3597" width="9.7109375" style="26" bestFit="1" customWidth="1"/>
    <col min="3598" max="3840" width="9.140625" style="26"/>
    <col min="3841" max="3841" width="5.28515625" style="26" customWidth="1"/>
    <col min="3842" max="3842" width="56.42578125" style="26" customWidth="1"/>
    <col min="3843" max="3843" width="10.28515625" style="26" customWidth="1"/>
    <col min="3844" max="3850" width="10.7109375" style="26" customWidth="1"/>
    <col min="3851" max="3851" width="9.140625" style="26"/>
    <col min="3852" max="3852" width="11.28515625" style="26" bestFit="1" customWidth="1"/>
    <col min="3853" max="3853" width="9.7109375" style="26" bestFit="1" customWidth="1"/>
    <col min="3854" max="4096" width="9.140625" style="26"/>
    <col min="4097" max="4097" width="5.28515625" style="26" customWidth="1"/>
    <col min="4098" max="4098" width="56.42578125" style="26" customWidth="1"/>
    <col min="4099" max="4099" width="10.28515625" style="26" customWidth="1"/>
    <col min="4100" max="4106" width="10.7109375" style="26" customWidth="1"/>
    <col min="4107" max="4107" width="9.140625" style="26"/>
    <col min="4108" max="4108" width="11.28515625" style="26" bestFit="1" customWidth="1"/>
    <col min="4109" max="4109" width="9.7109375" style="26" bestFit="1" customWidth="1"/>
    <col min="4110" max="4352" width="9.140625" style="26"/>
    <col min="4353" max="4353" width="5.28515625" style="26" customWidth="1"/>
    <col min="4354" max="4354" width="56.42578125" style="26" customWidth="1"/>
    <col min="4355" max="4355" width="10.28515625" style="26" customWidth="1"/>
    <col min="4356" max="4362" width="10.7109375" style="26" customWidth="1"/>
    <col min="4363" max="4363" width="9.140625" style="26"/>
    <col min="4364" max="4364" width="11.28515625" style="26" bestFit="1" customWidth="1"/>
    <col min="4365" max="4365" width="9.7109375" style="26" bestFit="1" customWidth="1"/>
    <col min="4366" max="4608" width="9.140625" style="26"/>
    <col min="4609" max="4609" width="5.28515625" style="26" customWidth="1"/>
    <col min="4610" max="4610" width="56.42578125" style="26" customWidth="1"/>
    <col min="4611" max="4611" width="10.28515625" style="26" customWidth="1"/>
    <col min="4612" max="4618" width="10.7109375" style="26" customWidth="1"/>
    <col min="4619" max="4619" width="9.140625" style="26"/>
    <col min="4620" max="4620" width="11.28515625" style="26" bestFit="1" customWidth="1"/>
    <col min="4621" max="4621" width="9.7109375" style="26" bestFit="1" customWidth="1"/>
    <col min="4622" max="4864" width="9.140625" style="26"/>
    <col min="4865" max="4865" width="5.28515625" style="26" customWidth="1"/>
    <col min="4866" max="4866" width="56.42578125" style="26" customWidth="1"/>
    <col min="4867" max="4867" width="10.28515625" style="26" customWidth="1"/>
    <col min="4868" max="4874" width="10.7109375" style="26" customWidth="1"/>
    <col min="4875" max="4875" width="9.140625" style="26"/>
    <col min="4876" max="4876" width="11.28515625" style="26" bestFit="1" customWidth="1"/>
    <col min="4877" max="4877" width="9.7109375" style="26" bestFit="1" customWidth="1"/>
    <col min="4878" max="5120" width="9.140625" style="26"/>
    <col min="5121" max="5121" width="5.28515625" style="26" customWidth="1"/>
    <col min="5122" max="5122" width="56.42578125" style="26" customWidth="1"/>
    <col min="5123" max="5123" width="10.28515625" style="26" customWidth="1"/>
    <col min="5124" max="5130" width="10.7109375" style="26" customWidth="1"/>
    <col min="5131" max="5131" width="9.140625" style="26"/>
    <col min="5132" max="5132" width="11.28515625" style="26" bestFit="1" customWidth="1"/>
    <col min="5133" max="5133" width="9.7109375" style="26" bestFit="1" customWidth="1"/>
    <col min="5134" max="5376" width="9.140625" style="26"/>
    <col min="5377" max="5377" width="5.28515625" style="26" customWidth="1"/>
    <col min="5378" max="5378" width="56.42578125" style="26" customWidth="1"/>
    <col min="5379" max="5379" width="10.28515625" style="26" customWidth="1"/>
    <col min="5380" max="5386" width="10.7109375" style="26" customWidth="1"/>
    <col min="5387" max="5387" width="9.140625" style="26"/>
    <col min="5388" max="5388" width="11.28515625" style="26" bestFit="1" customWidth="1"/>
    <col min="5389" max="5389" width="9.7109375" style="26" bestFit="1" customWidth="1"/>
    <col min="5390" max="5632" width="9.140625" style="26"/>
    <col min="5633" max="5633" width="5.28515625" style="26" customWidth="1"/>
    <col min="5634" max="5634" width="56.42578125" style="26" customWidth="1"/>
    <col min="5635" max="5635" width="10.28515625" style="26" customWidth="1"/>
    <col min="5636" max="5642" width="10.7109375" style="26" customWidth="1"/>
    <col min="5643" max="5643" width="9.140625" style="26"/>
    <col min="5644" max="5644" width="11.28515625" style="26" bestFit="1" customWidth="1"/>
    <col min="5645" max="5645" width="9.7109375" style="26" bestFit="1" customWidth="1"/>
    <col min="5646" max="5888" width="9.140625" style="26"/>
    <col min="5889" max="5889" width="5.28515625" style="26" customWidth="1"/>
    <col min="5890" max="5890" width="56.42578125" style="26" customWidth="1"/>
    <col min="5891" max="5891" width="10.28515625" style="26" customWidth="1"/>
    <col min="5892" max="5898" width="10.7109375" style="26" customWidth="1"/>
    <col min="5899" max="5899" width="9.140625" style="26"/>
    <col min="5900" max="5900" width="11.28515625" style="26" bestFit="1" customWidth="1"/>
    <col min="5901" max="5901" width="9.7109375" style="26" bestFit="1" customWidth="1"/>
    <col min="5902" max="6144" width="9.140625" style="26"/>
    <col min="6145" max="6145" width="5.28515625" style="26" customWidth="1"/>
    <col min="6146" max="6146" width="56.42578125" style="26" customWidth="1"/>
    <col min="6147" max="6147" width="10.28515625" style="26" customWidth="1"/>
    <col min="6148" max="6154" width="10.7109375" style="26" customWidth="1"/>
    <col min="6155" max="6155" width="9.140625" style="26"/>
    <col min="6156" max="6156" width="11.28515625" style="26" bestFit="1" customWidth="1"/>
    <col min="6157" max="6157" width="9.7109375" style="26" bestFit="1" customWidth="1"/>
    <col min="6158" max="6400" width="9.140625" style="26"/>
    <col min="6401" max="6401" width="5.28515625" style="26" customWidth="1"/>
    <col min="6402" max="6402" width="56.42578125" style="26" customWidth="1"/>
    <col min="6403" max="6403" width="10.28515625" style="26" customWidth="1"/>
    <col min="6404" max="6410" width="10.7109375" style="26" customWidth="1"/>
    <col min="6411" max="6411" width="9.140625" style="26"/>
    <col min="6412" max="6412" width="11.28515625" style="26" bestFit="1" customWidth="1"/>
    <col min="6413" max="6413" width="9.7109375" style="26" bestFit="1" customWidth="1"/>
    <col min="6414" max="6656" width="9.140625" style="26"/>
    <col min="6657" max="6657" width="5.28515625" style="26" customWidth="1"/>
    <col min="6658" max="6658" width="56.42578125" style="26" customWidth="1"/>
    <col min="6659" max="6659" width="10.28515625" style="26" customWidth="1"/>
    <col min="6660" max="6666" width="10.7109375" style="26" customWidth="1"/>
    <col min="6667" max="6667" width="9.140625" style="26"/>
    <col min="6668" max="6668" width="11.28515625" style="26" bestFit="1" customWidth="1"/>
    <col min="6669" max="6669" width="9.7109375" style="26" bestFit="1" customWidth="1"/>
    <col min="6670" max="6912" width="9.140625" style="26"/>
    <col min="6913" max="6913" width="5.28515625" style="26" customWidth="1"/>
    <col min="6914" max="6914" width="56.42578125" style="26" customWidth="1"/>
    <col min="6915" max="6915" width="10.28515625" style="26" customWidth="1"/>
    <col min="6916" max="6922" width="10.7109375" style="26" customWidth="1"/>
    <col min="6923" max="6923" width="9.140625" style="26"/>
    <col min="6924" max="6924" width="11.28515625" style="26" bestFit="1" customWidth="1"/>
    <col min="6925" max="6925" width="9.7109375" style="26" bestFit="1" customWidth="1"/>
    <col min="6926" max="7168" width="9.140625" style="26"/>
    <col min="7169" max="7169" width="5.28515625" style="26" customWidth="1"/>
    <col min="7170" max="7170" width="56.42578125" style="26" customWidth="1"/>
    <col min="7171" max="7171" width="10.28515625" style="26" customWidth="1"/>
    <col min="7172" max="7178" width="10.7109375" style="26" customWidth="1"/>
    <col min="7179" max="7179" width="9.140625" style="26"/>
    <col min="7180" max="7180" width="11.28515625" style="26" bestFit="1" customWidth="1"/>
    <col min="7181" max="7181" width="9.7109375" style="26" bestFit="1" customWidth="1"/>
    <col min="7182" max="7424" width="9.140625" style="26"/>
    <col min="7425" max="7425" width="5.28515625" style="26" customWidth="1"/>
    <col min="7426" max="7426" width="56.42578125" style="26" customWidth="1"/>
    <col min="7427" max="7427" width="10.28515625" style="26" customWidth="1"/>
    <col min="7428" max="7434" width="10.7109375" style="26" customWidth="1"/>
    <col min="7435" max="7435" width="9.140625" style="26"/>
    <col min="7436" max="7436" width="11.28515625" style="26" bestFit="1" customWidth="1"/>
    <col min="7437" max="7437" width="9.7109375" style="26" bestFit="1" customWidth="1"/>
    <col min="7438" max="7680" width="9.140625" style="26"/>
    <col min="7681" max="7681" width="5.28515625" style="26" customWidth="1"/>
    <col min="7682" max="7682" width="56.42578125" style="26" customWidth="1"/>
    <col min="7683" max="7683" width="10.28515625" style="26" customWidth="1"/>
    <col min="7684" max="7690" width="10.7109375" style="26" customWidth="1"/>
    <col min="7691" max="7691" width="9.140625" style="26"/>
    <col min="7692" max="7692" width="11.28515625" style="26" bestFit="1" customWidth="1"/>
    <col min="7693" max="7693" width="9.7109375" style="26" bestFit="1" customWidth="1"/>
    <col min="7694" max="7936" width="9.140625" style="26"/>
    <col min="7937" max="7937" width="5.28515625" style="26" customWidth="1"/>
    <col min="7938" max="7938" width="56.42578125" style="26" customWidth="1"/>
    <col min="7939" max="7939" width="10.28515625" style="26" customWidth="1"/>
    <col min="7940" max="7946" width="10.7109375" style="26" customWidth="1"/>
    <col min="7947" max="7947" width="9.140625" style="26"/>
    <col min="7948" max="7948" width="11.28515625" style="26" bestFit="1" customWidth="1"/>
    <col min="7949" max="7949" width="9.7109375" style="26" bestFit="1" customWidth="1"/>
    <col min="7950" max="8192" width="9.140625" style="26"/>
    <col min="8193" max="8193" width="5.28515625" style="26" customWidth="1"/>
    <col min="8194" max="8194" width="56.42578125" style="26" customWidth="1"/>
    <col min="8195" max="8195" width="10.28515625" style="26" customWidth="1"/>
    <col min="8196" max="8202" width="10.7109375" style="26" customWidth="1"/>
    <col min="8203" max="8203" width="9.140625" style="26"/>
    <col min="8204" max="8204" width="11.28515625" style="26" bestFit="1" customWidth="1"/>
    <col min="8205" max="8205" width="9.7109375" style="26" bestFit="1" customWidth="1"/>
    <col min="8206" max="8448" width="9.140625" style="26"/>
    <col min="8449" max="8449" width="5.28515625" style="26" customWidth="1"/>
    <col min="8450" max="8450" width="56.42578125" style="26" customWidth="1"/>
    <col min="8451" max="8451" width="10.28515625" style="26" customWidth="1"/>
    <col min="8452" max="8458" width="10.7109375" style="26" customWidth="1"/>
    <col min="8459" max="8459" width="9.140625" style="26"/>
    <col min="8460" max="8460" width="11.28515625" style="26" bestFit="1" customWidth="1"/>
    <col min="8461" max="8461" width="9.7109375" style="26" bestFit="1" customWidth="1"/>
    <col min="8462" max="8704" width="9.140625" style="26"/>
    <col min="8705" max="8705" width="5.28515625" style="26" customWidth="1"/>
    <col min="8706" max="8706" width="56.42578125" style="26" customWidth="1"/>
    <col min="8707" max="8707" width="10.28515625" style="26" customWidth="1"/>
    <col min="8708" max="8714" width="10.7109375" style="26" customWidth="1"/>
    <col min="8715" max="8715" width="9.140625" style="26"/>
    <col min="8716" max="8716" width="11.28515625" style="26" bestFit="1" customWidth="1"/>
    <col min="8717" max="8717" width="9.7109375" style="26" bestFit="1" customWidth="1"/>
    <col min="8718" max="8960" width="9.140625" style="26"/>
    <col min="8961" max="8961" width="5.28515625" style="26" customWidth="1"/>
    <col min="8962" max="8962" width="56.42578125" style="26" customWidth="1"/>
    <col min="8963" max="8963" width="10.28515625" style="26" customWidth="1"/>
    <col min="8964" max="8970" width="10.7109375" style="26" customWidth="1"/>
    <col min="8971" max="8971" width="9.140625" style="26"/>
    <col min="8972" max="8972" width="11.28515625" style="26" bestFit="1" customWidth="1"/>
    <col min="8973" max="8973" width="9.7109375" style="26" bestFit="1" customWidth="1"/>
    <col min="8974" max="9216" width="9.140625" style="26"/>
    <col min="9217" max="9217" width="5.28515625" style="26" customWidth="1"/>
    <col min="9218" max="9218" width="56.42578125" style="26" customWidth="1"/>
    <col min="9219" max="9219" width="10.28515625" style="26" customWidth="1"/>
    <col min="9220" max="9226" width="10.7109375" style="26" customWidth="1"/>
    <col min="9227" max="9227" width="9.140625" style="26"/>
    <col min="9228" max="9228" width="11.28515625" style="26" bestFit="1" customWidth="1"/>
    <col min="9229" max="9229" width="9.7109375" style="26" bestFit="1" customWidth="1"/>
    <col min="9230" max="9472" width="9.140625" style="26"/>
    <col min="9473" max="9473" width="5.28515625" style="26" customWidth="1"/>
    <col min="9474" max="9474" width="56.42578125" style="26" customWidth="1"/>
    <col min="9475" max="9475" width="10.28515625" style="26" customWidth="1"/>
    <col min="9476" max="9482" width="10.7109375" style="26" customWidth="1"/>
    <col min="9483" max="9483" width="9.140625" style="26"/>
    <col min="9484" max="9484" width="11.28515625" style="26" bestFit="1" customWidth="1"/>
    <col min="9485" max="9485" width="9.7109375" style="26" bestFit="1" customWidth="1"/>
    <col min="9486" max="9728" width="9.140625" style="26"/>
    <col min="9729" max="9729" width="5.28515625" style="26" customWidth="1"/>
    <col min="9730" max="9730" width="56.42578125" style="26" customWidth="1"/>
    <col min="9731" max="9731" width="10.28515625" style="26" customWidth="1"/>
    <col min="9732" max="9738" width="10.7109375" style="26" customWidth="1"/>
    <col min="9739" max="9739" width="9.140625" style="26"/>
    <col min="9740" max="9740" width="11.28515625" style="26" bestFit="1" customWidth="1"/>
    <col min="9741" max="9741" width="9.7109375" style="26" bestFit="1" customWidth="1"/>
    <col min="9742" max="9984" width="9.140625" style="26"/>
    <col min="9985" max="9985" width="5.28515625" style="26" customWidth="1"/>
    <col min="9986" max="9986" width="56.42578125" style="26" customWidth="1"/>
    <col min="9987" max="9987" width="10.28515625" style="26" customWidth="1"/>
    <col min="9988" max="9994" width="10.7109375" style="26" customWidth="1"/>
    <col min="9995" max="9995" width="9.140625" style="26"/>
    <col min="9996" max="9996" width="11.28515625" style="26" bestFit="1" customWidth="1"/>
    <col min="9997" max="9997" width="9.7109375" style="26" bestFit="1" customWidth="1"/>
    <col min="9998" max="10240" width="9.140625" style="26"/>
    <col min="10241" max="10241" width="5.28515625" style="26" customWidth="1"/>
    <col min="10242" max="10242" width="56.42578125" style="26" customWidth="1"/>
    <col min="10243" max="10243" width="10.28515625" style="26" customWidth="1"/>
    <col min="10244" max="10250" width="10.7109375" style="26" customWidth="1"/>
    <col min="10251" max="10251" width="9.140625" style="26"/>
    <col min="10252" max="10252" width="11.28515625" style="26" bestFit="1" customWidth="1"/>
    <col min="10253" max="10253" width="9.7109375" style="26" bestFit="1" customWidth="1"/>
    <col min="10254" max="10496" width="9.140625" style="26"/>
    <col min="10497" max="10497" width="5.28515625" style="26" customWidth="1"/>
    <col min="10498" max="10498" width="56.42578125" style="26" customWidth="1"/>
    <col min="10499" max="10499" width="10.28515625" style="26" customWidth="1"/>
    <col min="10500" max="10506" width="10.7109375" style="26" customWidth="1"/>
    <col min="10507" max="10507" width="9.140625" style="26"/>
    <col min="10508" max="10508" width="11.28515625" style="26" bestFit="1" customWidth="1"/>
    <col min="10509" max="10509" width="9.7109375" style="26" bestFit="1" customWidth="1"/>
    <col min="10510" max="10752" width="9.140625" style="26"/>
    <col min="10753" max="10753" width="5.28515625" style="26" customWidth="1"/>
    <col min="10754" max="10754" width="56.42578125" style="26" customWidth="1"/>
    <col min="10755" max="10755" width="10.28515625" style="26" customWidth="1"/>
    <col min="10756" max="10762" width="10.7109375" style="26" customWidth="1"/>
    <col min="10763" max="10763" width="9.140625" style="26"/>
    <col min="10764" max="10764" width="11.28515625" style="26" bestFit="1" customWidth="1"/>
    <col min="10765" max="10765" width="9.7109375" style="26" bestFit="1" customWidth="1"/>
    <col min="10766" max="11008" width="9.140625" style="26"/>
    <col min="11009" max="11009" width="5.28515625" style="26" customWidth="1"/>
    <col min="11010" max="11010" width="56.42578125" style="26" customWidth="1"/>
    <col min="11011" max="11011" width="10.28515625" style="26" customWidth="1"/>
    <col min="11012" max="11018" width="10.7109375" style="26" customWidth="1"/>
    <col min="11019" max="11019" width="9.140625" style="26"/>
    <col min="11020" max="11020" width="11.28515625" style="26" bestFit="1" customWidth="1"/>
    <col min="11021" max="11021" width="9.7109375" style="26" bestFit="1" customWidth="1"/>
    <col min="11022" max="11264" width="9.140625" style="26"/>
    <col min="11265" max="11265" width="5.28515625" style="26" customWidth="1"/>
    <col min="11266" max="11266" width="56.42578125" style="26" customWidth="1"/>
    <col min="11267" max="11267" width="10.28515625" style="26" customWidth="1"/>
    <col min="11268" max="11274" width="10.7109375" style="26" customWidth="1"/>
    <col min="11275" max="11275" width="9.140625" style="26"/>
    <col min="11276" max="11276" width="11.28515625" style="26" bestFit="1" customWidth="1"/>
    <col min="11277" max="11277" width="9.7109375" style="26" bestFit="1" customWidth="1"/>
    <col min="11278" max="11520" width="9.140625" style="26"/>
    <col min="11521" max="11521" width="5.28515625" style="26" customWidth="1"/>
    <col min="11522" max="11522" width="56.42578125" style="26" customWidth="1"/>
    <col min="11523" max="11523" width="10.28515625" style="26" customWidth="1"/>
    <col min="11524" max="11530" width="10.7109375" style="26" customWidth="1"/>
    <col min="11531" max="11531" width="9.140625" style="26"/>
    <col min="11532" max="11532" width="11.28515625" style="26" bestFit="1" customWidth="1"/>
    <col min="11533" max="11533" width="9.7109375" style="26" bestFit="1" customWidth="1"/>
    <col min="11534" max="11776" width="9.140625" style="26"/>
    <col min="11777" max="11777" width="5.28515625" style="26" customWidth="1"/>
    <col min="11778" max="11778" width="56.42578125" style="26" customWidth="1"/>
    <col min="11779" max="11779" width="10.28515625" style="26" customWidth="1"/>
    <col min="11780" max="11786" width="10.7109375" style="26" customWidth="1"/>
    <col min="11787" max="11787" width="9.140625" style="26"/>
    <col min="11788" max="11788" width="11.28515625" style="26" bestFit="1" customWidth="1"/>
    <col min="11789" max="11789" width="9.7109375" style="26" bestFit="1" customWidth="1"/>
    <col min="11790" max="12032" width="9.140625" style="26"/>
    <col min="12033" max="12033" width="5.28515625" style="26" customWidth="1"/>
    <col min="12034" max="12034" width="56.42578125" style="26" customWidth="1"/>
    <col min="12035" max="12035" width="10.28515625" style="26" customWidth="1"/>
    <col min="12036" max="12042" width="10.7109375" style="26" customWidth="1"/>
    <col min="12043" max="12043" width="9.140625" style="26"/>
    <col min="12044" max="12044" width="11.28515625" style="26" bestFit="1" customWidth="1"/>
    <col min="12045" max="12045" width="9.7109375" style="26" bestFit="1" customWidth="1"/>
    <col min="12046" max="12288" width="9.140625" style="26"/>
    <col min="12289" max="12289" width="5.28515625" style="26" customWidth="1"/>
    <col min="12290" max="12290" width="56.42578125" style="26" customWidth="1"/>
    <col min="12291" max="12291" width="10.28515625" style="26" customWidth="1"/>
    <col min="12292" max="12298" width="10.7109375" style="26" customWidth="1"/>
    <col min="12299" max="12299" width="9.140625" style="26"/>
    <col min="12300" max="12300" width="11.28515625" style="26" bestFit="1" customWidth="1"/>
    <col min="12301" max="12301" width="9.7109375" style="26" bestFit="1" customWidth="1"/>
    <col min="12302" max="12544" width="9.140625" style="26"/>
    <col min="12545" max="12545" width="5.28515625" style="26" customWidth="1"/>
    <col min="12546" max="12546" width="56.42578125" style="26" customWidth="1"/>
    <col min="12547" max="12547" width="10.28515625" style="26" customWidth="1"/>
    <col min="12548" max="12554" width="10.7109375" style="26" customWidth="1"/>
    <col min="12555" max="12555" width="9.140625" style="26"/>
    <col min="12556" max="12556" width="11.28515625" style="26" bestFit="1" customWidth="1"/>
    <col min="12557" max="12557" width="9.7109375" style="26" bestFit="1" customWidth="1"/>
    <col min="12558" max="12800" width="9.140625" style="26"/>
    <col min="12801" max="12801" width="5.28515625" style="26" customWidth="1"/>
    <col min="12802" max="12802" width="56.42578125" style="26" customWidth="1"/>
    <col min="12803" max="12803" width="10.28515625" style="26" customWidth="1"/>
    <col min="12804" max="12810" width="10.7109375" style="26" customWidth="1"/>
    <col min="12811" max="12811" width="9.140625" style="26"/>
    <col min="12812" max="12812" width="11.28515625" style="26" bestFit="1" customWidth="1"/>
    <col min="12813" max="12813" width="9.7109375" style="26" bestFit="1" customWidth="1"/>
    <col min="12814" max="13056" width="9.140625" style="26"/>
    <col min="13057" max="13057" width="5.28515625" style="26" customWidth="1"/>
    <col min="13058" max="13058" width="56.42578125" style="26" customWidth="1"/>
    <col min="13059" max="13059" width="10.28515625" style="26" customWidth="1"/>
    <col min="13060" max="13066" width="10.7109375" style="26" customWidth="1"/>
    <col min="13067" max="13067" width="9.140625" style="26"/>
    <col min="13068" max="13068" width="11.28515625" style="26" bestFit="1" customWidth="1"/>
    <col min="13069" max="13069" width="9.7109375" style="26" bestFit="1" customWidth="1"/>
    <col min="13070" max="13312" width="9.140625" style="26"/>
    <col min="13313" max="13313" width="5.28515625" style="26" customWidth="1"/>
    <col min="13314" max="13314" width="56.42578125" style="26" customWidth="1"/>
    <col min="13315" max="13315" width="10.28515625" style="26" customWidth="1"/>
    <col min="13316" max="13322" width="10.7109375" style="26" customWidth="1"/>
    <col min="13323" max="13323" width="9.140625" style="26"/>
    <col min="13324" max="13324" width="11.28515625" style="26" bestFit="1" customWidth="1"/>
    <col min="13325" max="13325" width="9.7109375" style="26" bestFit="1" customWidth="1"/>
    <col min="13326" max="13568" width="9.140625" style="26"/>
    <col min="13569" max="13569" width="5.28515625" style="26" customWidth="1"/>
    <col min="13570" max="13570" width="56.42578125" style="26" customWidth="1"/>
    <col min="13571" max="13571" width="10.28515625" style="26" customWidth="1"/>
    <col min="13572" max="13578" width="10.7109375" style="26" customWidth="1"/>
    <col min="13579" max="13579" width="9.140625" style="26"/>
    <col min="13580" max="13580" width="11.28515625" style="26" bestFit="1" customWidth="1"/>
    <col min="13581" max="13581" width="9.7109375" style="26" bestFit="1" customWidth="1"/>
    <col min="13582" max="13824" width="9.140625" style="26"/>
    <col min="13825" max="13825" width="5.28515625" style="26" customWidth="1"/>
    <col min="13826" max="13826" width="56.42578125" style="26" customWidth="1"/>
    <col min="13827" max="13827" width="10.28515625" style="26" customWidth="1"/>
    <col min="13828" max="13834" width="10.7109375" style="26" customWidth="1"/>
    <col min="13835" max="13835" width="9.140625" style="26"/>
    <col min="13836" max="13836" width="11.28515625" style="26" bestFit="1" customWidth="1"/>
    <col min="13837" max="13837" width="9.7109375" style="26" bestFit="1" customWidth="1"/>
    <col min="13838" max="14080" width="9.140625" style="26"/>
    <col min="14081" max="14081" width="5.28515625" style="26" customWidth="1"/>
    <col min="14082" max="14082" width="56.42578125" style="26" customWidth="1"/>
    <col min="14083" max="14083" width="10.28515625" style="26" customWidth="1"/>
    <col min="14084" max="14090" width="10.7109375" style="26" customWidth="1"/>
    <col min="14091" max="14091" width="9.140625" style="26"/>
    <col min="14092" max="14092" width="11.28515625" style="26" bestFit="1" customWidth="1"/>
    <col min="14093" max="14093" width="9.7109375" style="26" bestFit="1" customWidth="1"/>
    <col min="14094" max="14336" width="9.140625" style="26"/>
    <col min="14337" max="14337" width="5.28515625" style="26" customWidth="1"/>
    <col min="14338" max="14338" width="56.42578125" style="26" customWidth="1"/>
    <col min="14339" max="14339" width="10.28515625" style="26" customWidth="1"/>
    <col min="14340" max="14346" width="10.7109375" style="26" customWidth="1"/>
    <col min="14347" max="14347" width="9.140625" style="26"/>
    <col min="14348" max="14348" width="11.28515625" style="26" bestFit="1" customWidth="1"/>
    <col min="14349" max="14349" width="9.7109375" style="26" bestFit="1" customWidth="1"/>
    <col min="14350" max="14592" width="9.140625" style="26"/>
    <col min="14593" max="14593" width="5.28515625" style="26" customWidth="1"/>
    <col min="14594" max="14594" width="56.42578125" style="26" customWidth="1"/>
    <col min="14595" max="14595" width="10.28515625" style="26" customWidth="1"/>
    <col min="14596" max="14602" width="10.7109375" style="26" customWidth="1"/>
    <col min="14603" max="14603" width="9.140625" style="26"/>
    <col min="14604" max="14604" width="11.28515625" style="26" bestFit="1" customWidth="1"/>
    <col min="14605" max="14605" width="9.7109375" style="26" bestFit="1" customWidth="1"/>
    <col min="14606" max="14848" width="9.140625" style="26"/>
    <col min="14849" max="14849" width="5.28515625" style="26" customWidth="1"/>
    <col min="14850" max="14850" width="56.42578125" style="26" customWidth="1"/>
    <col min="14851" max="14851" width="10.28515625" style="26" customWidth="1"/>
    <col min="14852" max="14858" width="10.7109375" style="26" customWidth="1"/>
    <col min="14859" max="14859" width="9.140625" style="26"/>
    <col min="14860" max="14860" width="11.28515625" style="26" bestFit="1" customWidth="1"/>
    <col min="14861" max="14861" width="9.7109375" style="26" bestFit="1" customWidth="1"/>
    <col min="14862" max="15104" width="9.140625" style="26"/>
    <col min="15105" max="15105" width="5.28515625" style="26" customWidth="1"/>
    <col min="15106" max="15106" width="56.42578125" style="26" customWidth="1"/>
    <col min="15107" max="15107" width="10.28515625" style="26" customWidth="1"/>
    <col min="15108" max="15114" width="10.7109375" style="26" customWidth="1"/>
    <col min="15115" max="15115" width="9.140625" style="26"/>
    <col min="15116" max="15116" width="11.28515625" style="26" bestFit="1" customWidth="1"/>
    <col min="15117" max="15117" width="9.7109375" style="26" bestFit="1" customWidth="1"/>
    <col min="15118" max="15360" width="9.140625" style="26"/>
    <col min="15361" max="15361" width="5.28515625" style="26" customWidth="1"/>
    <col min="15362" max="15362" width="56.42578125" style="26" customWidth="1"/>
    <col min="15363" max="15363" width="10.28515625" style="26" customWidth="1"/>
    <col min="15364" max="15370" width="10.7109375" style="26" customWidth="1"/>
    <col min="15371" max="15371" width="9.140625" style="26"/>
    <col min="15372" max="15372" width="11.28515625" style="26" bestFit="1" customWidth="1"/>
    <col min="15373" max="15373" width="9.7109375" style="26" bestFit="1" customWidth="1"/>
    <col min="15374" max="15616" width="9.140625" style="26"/>
    <col min="15617" max="15617" width="5.28515625" style="26" customWidth="1"/>
    <col min="15618" max="15618" width="56.42578125" style="26" customWidth="1"/>
    <col min="15619" max="15619" width="10.28515625" style="26" customWidth="1"/>
    <col min="15620" max="15626" width="10.7109375" style="26" customWidth="1"/>
    <col min="15627" max="15627" width="9.140625" style="26"/>
    <col min="15628" max="15628" width="11.28515625" style="26" bestFit="1" customWidth="1"/>
    <col min="15629" max="15629" width="9.7109375" style="26" bestFit="1" customWidth="1"/>
    <col min="15630" max="15872" width="9.140625" style="26"/>
    <col min="15873" max="15873" width="5.28515625" style="26" customWidth="1"/>
    <col min="15874" max="15874" width="56.42578125" style="26" customWidth="1"/>
    <col min="15875" max="15875" width="10.28515625" style="26" customWidth="1"/>
    <col min="15876" max="15882" width="10.7109375" style="26" customWidth="1"/>
    <col min="15883" max="15883" width="9.140625" style="26"/>
    <col min="15884" max="15884" width="11.28515625" style="26" bestFit="1" customWidth="1"/>
    <col min="15885" max="15885" width="9.7109375" style="26" bestFit="1" customWidth="1"/>
    <col min="15886" max="16128" width="9.140625" style="26"/>
    <col min="16129" max="16129" width="5.28515625" style="26" customWidth="1"/>
    <col min="16130" max="16130" width="56.42578125" style="26" customWidth="1"/>
    <col min="16131" max="16131" width="10.28515625" style="26" customWidth="1"/>
    <col min="16132" max="16138" width="10.7109375" style="26" customWidth="1"/>
    <col min="16139" max="16139" width="9.140625" style="26"/>
    <col min="16140" max="16140" width="11.28515625" style="26" bestFit="1" customWidth="1"/>
    <col min="16141" max="16141" width="9.7109375" style="26" bestFit="1" customWidth="1"/>
    <col min="16142" max="16384" width="9.140625" style="26"/>
  </cols>
  <sheetData>
    <row r="1" spans="1:13" ht="13.5" customHeight="1">
      <c r="B1" s="450"/>
      <c r="C1" s="450"/>
      <c r="D1" s="545"/>
      <c r="E1" s="545"/>
      <c r="F1" s="545"/>
      <c r="G1" s="545"/>
      <c r="H1" s="545"/>
      <c r="I1" s="545" t="s">
        <v>1509</v>
      </c>
      <c r="J1" s="545"/>
    </row>
    <row r="2" spans="1:13" s="25" customFormat="1" ht="27.75" customHeight="1">
      <c r="A2" s="3466" t="s">
        <v>1411</v>
      </c>
      <c r="B2" s="3466"/>
      <c r="C2" s="3466"/>
      <c r="D2" s="3466"/>
      <c r="E2" s="3466"/>
      <c r="F2" s="3466"/>
      <c r="G2" s="3466"/>
      <c r="H2" s="3466"/>
      <c r="I2" s="3466"/>
      <c r="J2" s="3466"/>
    </row>
    <row r="3" spans="1:13" ht="12.75" customHeight="1">
      <c r="A3" s="3466"/>
      <c r="B3" s="3466"/>
      <c r="C3" s="3466"/>
      <c r="D3" s="3466"/>
      <c r="E3" s="3466"/>
      <c r="F3" s="3466"/>
      <c r="G3" s="3466"/>
      <c r="H3" s="3466"/>
      <c r="I3" s="3466"/>
      <c r="J3" s="3466"/>
    </row>
    <row r="4" spans="1:13" ht="12.75" customHeight="1">
      <c r="A4" s="3466"/>
      <c r="B4" s="3466"/>
      <c r="C4" s="3466"/>
      <c r="D4" s="3466"/>
      <c r="E4" s="3466"/>
      <c r="F4" s="3466"/>
      <c r="G4" s="3466"/>
      <c r="H4" s="3466"/>
      <c r="I4" s="3466"/>
      <c r="J4" s="3466"/>
    </row>
    <row r="5" spans="1:13" s="451" customFormat="1" ht="18.75">
      <c r="A5" s="3467" t="str">
        <f>'1. Анкетна карта'!A3:J3</f>
        <v>на "Водоснабдяване и канализация" ЕООД , гр. Благоевград</v>
      </c>
      <c r="B5" s="3467"/>
      <c r="C5" s="3467"/>
      <c r="D5" s="3467"/>
      <c r="E5" s="3467"/>
      <c r="F5" s="3467"/>
      <c r="G5" s="3467"/>
      <c r="H5" s="3467"/>
      <c r="I5" s="3467"/>
      <c r="J5" s="3467"/>
    </row>
    <row r="6" spans="1:13" s="451" customFormat="1" ht="18.75">
      <c r="A6" s="3467" t="str">
        <f>'1. Анкетна карта'!A4:J4</f>
        <v>ЕИК по БУЛСТАТ: 811047831</v>
      </c>
      <c r="B6" s="3467"/>
      <c r="C6" s="3467"/>
      <c r="D6" s="3467"/>
      <c r="E6" s="3467"/>
      <c r="F6" s="3467"/>
      <c r="G6" s="3467"/>
      <c r="H6" s="3467"/>
      <c r="I6" s="3467"/>
      <c r="J6" s="3467"/>
    </row>
    <row r="7" spans="1:13" s="451" customFormat="1" ht="19.5" thickBot="1">
      <c r="A7" s="452"/>
      <c r="B7" s="452"/>
      <c r="C7" s="452"/>
      <c r="D7" s="452"/>
      <c r="E7" s="452"/>
      <c r="F7" s="452"/>
      <c r="G7" s="452"/>
      <c r="H7" s="452"/>
      <c r="I7" s="452"/>
      <c r="J7" s="452"/>
    </row>
    <row r="8" spans="1:13" s="28" customFormat="1" ht="12">
      <c r="A8" s="3468" t="s">
        <v>1</v>
      </c>
      <c r="B8" s="3470" t="s">
        <v>95</v>
      </c>
      <c r="C8" s="3472" t="s">
        <v>222</v>
      </c>
      <c r="D8" s="3474" t="str">
        <f>'Приложение '!$G12</f>
        <v>2015 г.</v>
      </c>
      <c r="E8" s="3474" t="str">
        <f>'Приложение '!$G13</f>
        <v>2016 г.</v>
      </c>
      <c r="F8" s="3474" t="str">
        <f>'Приложение '!$G14</f>
        <v>2017 г.</v>
      </c>
      <c r="G8" s="3474" t="str">
        <f>'Приложение '!$G15</f>
        <v>2018 г.</v>
      </c>
      <c r="H8" s="3474" t="str">
        <f>'Приложение '!$G16</f>
        <v>2019 г.</v>
      </c>
      <c r="I8" s="3474" t="str">
        <f>'Приложение '!$G17</f>
        <v>2020 г.</v>
      </c>
      <c r="J8" s="3474" t="str">
        <f>'Приложение '!$G18</f>
        <v>2021 г.</v>
      </c>
      <c r="K8" s="27"/>
      <c r="L8" s="27"/>
      <c r="M8" s="27"/>
    </row>
    <row r="9" spans="1:13" s="28" customFormat="1" thickBot="1">
      <c r="A9" s="3469"/>
      <c r="B9" s="3471"/>
      <c r="C9" s="3473"/>
      <c r="D9" s="3475"/>
      <c r="E9" s="3475"/>
      <c r="F9" s="3475"/>
      <c r="G9" s="3475"/>
      <c r="H9" s="3475"/>
      <c r="I9" s="3475"/>
      <c r="J9" s="3475"/>
    </row>
    <row r="10" spans="1:13" s="28" customFormat="1" ht="15" customHeight="1">
      <c r="A10" s="453" t="s">
        <v>193</v>
      </c>
      <c r="B10" s="454" t="s">
        <v>1384</v>
      </c>
      <c r="C10" s="455" t="s">
        <v>831</v>
      </c>
      <c r="D10" s="2512">
        <f>SUM(D11:D13)</f>
        <v>876</v>
      </c>
      <c r="E10" s="2512">
        <f t="shared" ref="E10:J10" si="0">SUM(E11:E13)</f>
        <v>1030</v>
      </c>
      <c r="F10" s="2512">
        <f t="shared" si="0"/>
        <v>913</v>
      </c>
      <c r="G10" s="2512">
        <f t="shared" si="0"/>
        <v>1028.5999999999999</v>
      </c>
      <c r="H10" s="2512">
        <f t="shared" si="0"/>
        <v>1014.5999999999999</v>
      </c>
      <c r="I10" s="2512">
        <f t="shared" si="0"/>
        <v>1153.5999999999999</v>
      </c>
      <c r="J10" s="2512">
        <f t="shared" si="0"/>
        <v>1142.5999999999999</v>
      </c>
      <c r="L10" s="456"/>
    </row>
    <row r="11" spans="1:13" s="460" customFormat="1" ht="12">
      <c r="A11" s="457" t="s">
        <v>98</v>
      </c>
      <c r="B11" s="458" t="s">
        <v>1385</v>
      </c>
      <c r="C11" s="459" t="s">
        <v>805</v>
      </c>
      <c r="D11" s="1938">
        <v>293</v>
      </c>
      <c r="E11" s="2513">
        <f>IF(D26&lt;0,"error",D26)</f>
        <v>0</v>
      </c>
      <c r="F11" s="2514">
        <f t="shared" ref="F11:J12" si="1">IF(E26&lt;0,"error",E26)</f>
        <v>0</v>
      </c>
      <c r="G11" s="2513">
        <f t="shared" si="1"/>
        <v>0</v>
      </c>
      <c r="H11" s="2513">
        <f t="shared" si="1"/>
        <v>0</v>
      </c>
      <c r="I11" s="2514">
        <f t="shared" si="1"/>
        <v>0</v>
      </c>
      <c r="J11" s="2513">
        <f t="shared" si="1"/>
        <v>0</v>
      </c>
    </row>
    <row r="12" spans="1:13" s="460" customFormat="1" ht="12">
      <c r="A12" s="457" t="s">
        <v>99</v>
      </c>
      <c r="B12" s="458" t="s">
        <v>1389</v>
      </c>
      <c r="C12" s="459" t="s">
        <v>805</v>
      </c>
      <c r="D12" s="2950"/>
      <c r="E12" s="2513">
        <f>IF(D27&lt;0,"error",D27)</f>
        <v>447</v>
      </c>
      <c r="F12" s="2514">
        <f t="shared" si="1"/>
        <v>330</v>
      </c>
      <c r="G12" s="2513">
        <f t="shared" si="1"/>
        <v>413</v>
      </c>
      <c r="H12" s="2513">
        <f t="shared" si="1"/>
        <v>328.59999999999991</v>
      </c>
      <c r="I12" s="2514">
        <f t="shared" si="1"/>
        <v>464.59999999999991</v>
      </c>
      <c r="J12" s="2513">
        <f t="shared" si="1"/>
        <v>453.59999999999991</v>
      </c>
    </row>
    <row r="13" spans="1:13" s="460" customFormat="1" ht="12">
      <c r="A13" s="457" t="s">
        <v>101</v>
      </c>
      <c r="B13" s="461" t="s">
        <v>806</v>
      </c>
      <c r="C13" s="459" t="s">
        <v>805</v>
      </c>
      <c r="D13" s="546">
        <v>583</v>
      </c>
      <c r="E13" s="547">
        <v>583</v>
      </c>
      <c r="F13" s="547">
        <v>583</v>
      </c>
      <c r="G13" s="547">
        <v>615.6</v>
      </c>
      <c r="H13" s="547">
        <v>686</v>
      </c>
      <c r="I13" s="547">
        <v>689</v>
      </c>
      <c r="J13" s="547">
        <v>689</v>
      </c>
    </row>
    <row r="14" spans="1:13" s="460" customFormat="1" ht="12">
      <c r="A14" s="457" t="s">
        <v>197</v>
      </c>
      <c r="B14" s="461" t="s">
        <v>1476</v>
      </c>
      <c r="C14" s="459" t="s">
        <v>226</v>
      </c>
      <c r="D14" s="1936">
        <v>0.82</v>
      </c>
      <c r="E14" s="1937">
        <v>0.82</v>
      </c>
      <c r="F14" s="1937">
        <v>0.82</v>
      </c>
      <c r="G14" s="1937">
        <v>0.82</v>
      </c>
      <c r="H14" s="1937">
        <v>0.83</v>
      </c>
      <c r="I14" s="1937">
        <v>0.84</v>
      </c>
      <c r="J14" s="1937">
        <v>0.84</v>
      </c>
    </row>
    <row r="15" spans="1:13" s="28" customFormat="1" ht="36">
      <c r="A15" s="453" t="s">
        <v>103</v>
      </c>
      <c r="B15" s="462" t="s">
        <v>845</v>
      </c>
      <c r="C15" s="455" t="s">
        <v>805</v>
      </c>
      <c r="D15" s="2512">
        <f>SUM(D16:D18)</f>
        <v>429</v>
      </c>
      <c r="E15" s="2512">
        <f t="shared" ref="E15:J15" si="2">SUM(E16:E18)</f>
        <v>700</v>
      </c>
      <c r="F15" s="2512">
        <f t="shared" si="2"/>
        <v>500</v>
      </c>
      <c r="G15" s="2512">
        <f t="shared" si="2"/>
        <v>700</v>
      </c>
      <c r="H15" s="2512">
        <f t="shared" si="2"/>
        <v>550</v>
      </c>
      <c r="I15" s="2512">
        <f t="shared" si="2"/>
        <v>700</v>
      </c>
      <c r="J15" s="2512">
        <f t="shared" si="2"/>
        <v>600</v>
      </c>
      <c r="L15" s="456"/>
    </row>
    <row r="16" spans="1:13" s="460" customFormat="1" ht="15" customHeight="1">
      <c r="A16" s="457" t="s">
        <v>105</v>
      </c>
      <c r="B16" s="461" t="s">
        <v>1386</v>
      </c>
      <c r="C16" s="463" t="s">
        <v>805</v>
      </c>
      <c r="D16" s="546">
        <v>293</v>
      </c>
      <c r="E16" s="547"/>
      <c r="F16" s="548"/>
      <c r="G16" s="547"/>
      <c r="H16" s="547"/>
      <c r="I16" s="548"/>
      <c r="J16" s="547"/>
      <c r="L16" s="464"/>
    </row>
    <row r="17" spans="1:12" s="460" customFormat="1" ht="15" customHeight="1">
      <c r="A17" s="457" t="s">
        <v>107</v>
      </c>
      <c r="B17" s="461" t="s">
        <v>832</v>
      </c>
      <c r="C17" s="463" t="s">
        <v>805</v>
      </c>
      <c r="D17" s="2950"/>
      <c r="E17" s="547">
        <v>400</v>
      </c>
      <c r="F17" s="548">
        <v>300</v>
      </c>
      <c r="G17" s="547">
        <v>250</v>
      </c>
      <c r="H17" s="547">
        <v>150</v>
      </c>
      <c r="I17" s="548">
        <v>250</v>
      </c>
      <c r="J17" s="547">
        <v>200</v>
      </c>
      <c r="L17" s="464"/>
    </row>
    <row r="18" spans="1:12" s="460" customFormat="1" ht="15" customHeight="1">
      <c r="A18" s="457" t="s">
        <v>225</v>
      </c>
      <c r="B18" s="461" t="s">
        <v>833</v>
      </c>
      <c r="C18" s="463" t="s">
        <v>805</v>
      </c>
      <c r="D18" s="546">
        <v>136</v>
      </c>
      <c r="E18" s="547">
        <v>300</v>
      </c>
      <c r="F18" s="548">
        <v>200</v>
      </c>
      <c r="G18" s="547">
        <v>450</v>
      </c>
      <c r="H18" s="547">
        <v>400</v>
      </c>
      <c r="I18" s="548">
        <v>450</v>
      </c>
      <c r="J18" s="547">
        <v>400</v>
      </c>
      <c r="L18" s="464"/>
    </row>
    <row r="19" spans="1:12" s="460" customFormat="1" ht="15" customHeight="1">
      <c r="A19" s="457" t="s">
        <v>306</v>
      </c>
      <c r="B19" s="461" t="s">
        <v>1477</v>
      </c>
      <c r="C19" s="459" t="s">
        <v>226</v>
      </c>
      <c r="D19" s="1936">
        <v>0.82</v>
      </c>
      <c r="E19" s="1937">
        <v>0.82</v>
      </c>
      <c r="F19" s="1937">
        <v>0.82</v>
      </c>
      <c r="G19" s="1937">
        <v>0.82</v>
      </c>
      <c r="H19" s="1937">
        <v>0.83</v>
      </c>
      <c r="I19" s="1937">
        <v>0.84</v>
      </c>
      <c r="J19" s="1937">
        <v>0.84</v>
      </c>
      <c r="L19" s="464"/>
    </row>
    <row r="20" spans="1:12" s="28" customFormat="1" ht="15" customHeight="1">
      <c r="A20" s="453" t="s">
        <v>110</v>
      </c>
      <c r="B20" s="454" t="s">
        <v>807</v>
      </c>
      <c r="C20" s="455" t="s">
        <v>805</v>
      </c>
      <c r="D20" s="2512">
        <f>SUM(D21:D23)</f>
        <v>0</v>
      </c>
      <c r="E20" s="2512">
        <f t="shared" ref="E20:J20" si="3">SUM(E21:E23)</f>
        <v>0</v>
      </c>
      <c r="F20" s="2512">
        <f t="shared" si="3"/>
        <v>0</v>
      </c>
      <c r="G20" s="2512">
        <f t="shared" si="3"/>
        <v>0</v>
      </c>
      <c r="H20" s="2512">
        <f t="shared" si="3"/>
        <v>0</v>
      </c>
      <c r="I20" s="2512">
        <f t="shared" si="3"/>
        <v>0</v>
      </c>
      <c r="J20" s="2512">
        <f t="shared" si="3"/>
        <v>0</v>
      </c>
      <c r="L20" s="456"/>
    </row>
    <row r="21" spans="1:12" s="28" customFormat="1" ht="12">
      <c r="A21" s="465" t="s">
        <v>227</v>
      </c>
      <c r="B21" s="466" t="s">
        <v>1387</v>
      </c>
      <c r="C21" s="463" t="s">
        <v>805</v>
      </c>
      <c r="D21" s="546"/>
      <c r="E21" s="547"/>
      <c r="F21" s="548"/>
      <c r="G21" s="547"/>
      <c r="H21" s="547"/>
      <c r="I21" s="548"/>
      <c r="J21" s="547"/>
      <c r="L21" s="456"/>
    </row>
    <row r="22" spans="1:12" s="28" customFormat="1" ht="12">
      <c r="A22" s="465" t="s">
        <v>228</v>
      </c>
      <c r="B22" s="466" t="s">
        <v>834</v>
      </c>
      <c r="C22" s="463" t="s">
        <v>805</v>
      </c>
      <c r="D22" s="2950"/>
      <c r="E22" s="547"/>
      <c r="F22" s="548"/>
      <c r="G22" s="547"/>
      <c r="H22" s="547"/>
      <c r="I22" s="548"/>
      <c r="J22" s="547"/>
      <c r="L22" s="456"/>
    </row>
    <row r="23" spans="1:12" s="28" customFormat="1" ht="12">
      <c r="A23" s="465" t="s">
        <v>835</v>
      </c>
      <c r="B23" s="466" t="s">
        <v>836</v>
      </c>
      <c r="C23" s="463" t="s">
        <v>805</v>
      </c>
      <c r="D23" s="546"/>
      <c r="E23" s="547"/>
      <c r="F23" s="548"/>
      <c r="G23" s="547"/>
      <c r="H23" s="547"/>
      <c r="I23" s="548"/>
      <c r="J23" s="547"/>
      <c r="L23" s="456"/>
    </row>
    <row r="24" spans="1:12" s="28" customFormat="1" ht="12">
      <c r="A24" s="457" t="s">
        <v>1395</v>
      </c>
      <c r="B24" s="461" t="s">
        <v>1478</v>
      </c>
      <c r="C24" s="459" t="s">
        <v>226</v>
      </c>
      <c r="D24" s="1936"/>
      <c r="E24" s="1937"/>
      <c r="F24" s="1937"/>
      <c r="G24" s="1937"/>
      <c r="H24" s="1937"/>
      <c r="I24" s="1937"/>
      <c r="J24" s="1937"/>
      <c r="L24" s="456"/>
    </row>
    <row r="25" spans="1:12" s="28" customFormat="1" ht="15" customHeight="1">
      <c r="A25" s="453" t="s">
        <v>111</v>
      </c>
      <c r="B25" s="454" t="s">
        <v>808</v>
      </c>
      <c r="C25" s="455" t="s">
        <v>805</v>
      </c>
      <c r="D25" s="2512">
        <f t="shared" ref="D25:J25" si="4">IF(D10-D15-D20&gt;=0,D10-D15-D20,0)</f>
        <v>447</v>
      </c>
      <c r="E25" s="2512">
        <f t="shared" si="4"/>
        <v>330</v>
      </c>
      <c r="F25" s="2512">
        <f t="shared" si="4"/>
        <v>413</v>
      </c>
      <c r="G25" s="2512">
        <f t="shared" si="4"/>
        <v>328.59999999999991</v>
      </c>
      <c r="H25" s="2512">
        <f t="shared" si="4"/>
        <v>464.59999999999991</v>
      </c>
      <c r="I25" s="2512">
        <f t="shared" si="4"/>
        <v>453.59999999999991</v>
      </c>
      <c r="J25" s="2512">
        <f t="shared" si="4"/>
        <v>542.59999999999991</v>
      </c>
      <c r="L25" s="456"/>
    </row>
    <row r="26" spans="1:12" s="28" customFormat="1" ht="15" customHeight="1">
      <c r="A26" s="465" t="s">
        <v>113</v>
      </c>
      <c r="B26" s="466" t="s">
        <v>1388</v>
      </c>
      <c r="C26" s="463" t="s">
        <v>805</v>
      </c>
      <c r="D26" s="2515">
        <f t="shared" ref="D26:J26" si="5">D11-D16-D21</f>
        <v>0</v>
      </c>
      <c r="E26" s="2513">
        <f t="shared" si="5"/>
        <v>0</v>
      </c>
      <c r="F26" s="2514">
        <f t="shared" si="5"/>
        <v>0</v>
      </c>
      <c r="G26" s="2513">
        <f t="shared" si="5"/>
        <v>0</v>
      </c>
      <c r="H26" s="2513">
        <f t="shared" si="5"/>
        <v>0</v>
      </c>
      <c r="I26" s="2514">
        <f t="shared" si="5"/>
        <v>0</v>
      </c>
      <c r="J26" s="2513">
        <f t="shared" si="5"/>
        <v>0</v>
      </c>
      <c r="L26" s="456"/>
    </row>
    <row r="27" spans="1:12" s="28" customFormat="1" ht="15" customHeight="1">
      <c r="A27" s="465" t="s">
        <v>115</v>
      </c>
      <c r="B27" s="466" t="s">
        <v>1390</v>
      </c>
      <c r="C27" s="463" t="s">
        <v>805</v>
      </c>
      <c r="D27" s="2513">
        <f>D12+D13-D17-D22-D18-D23</f>
        <v>447</v>
      </c>
      <c r="E27" s="2513">
        <f t="shared" ref="E27:J27" si="6">E12+E13-E17-E22-E18-E23</f>
        <v>330</v>
      </c>
      <c r="F27" s="2513">
        <f t="shared" si="6"/>
        <v>413</v>
      </c>
      <c r="G27" s="2513">
        <f t="shared" si="6"/>
        <v>328.59999999999991</v>
      </c>
      <c r="H27" s="2513">
        <f t="shared" si="6"/>
        <v>464.59999999999991</v>
      </c>
      <c r="I27" s="2513">
        <f t="shared" si="6"/>
        <v>453.59999999999991</v>
      </c>
      <c r="J27" s="2513">
        <f t="shared" si="6"/>
        <v>542.59999999999991</v>
      </c>
      <c r="L27" s="456"/>
    </row>
    <row r="28" spans="1:12" s="28" customFormat="1" ht="15" customHeight="1">
      <c r="A28" s="453" t="s">
        <v>117</v>
      </c>
      <c r="B28" s="454" t="s">
        <v>837</v>
      </c>
      <c r="C28" s="455" t="s">
        <v>361</v>
      </c>
      <c r="D28" s="2516">
        <f>SUM(D29:D32)</f>
        <v>20</v>
      </c>
      <c r="E28" s="2516">
        <f t="shared" ref="E28:J28" si="7">SUM(E29:E32)</f>
        <v>20</v>
      </c>
      <c r="F28" s="2516">
        <f t="shared" si="7"/>
        <v>30</v>
      </c>
      <c r="G28" s="2516">
        <f t="shared" si="7"/>
        <v>30</v>
      </c>
      <c r="H28" s="2516">
        <f t="shared" si="7"/>
        <v>30</v>
      </c>
      <c r="I28" s="2516">
        <f t="shared" si="7"/>
        <v>30</v>
      </c>
      <c r="J28" s="2516">
        <f t="shared" si="7"/>
        <v>30</v>
      </c>
      <c r="L28" s="456"/>
    </row>
    <row r="29" spans="1:12" s="28" customFormat="1" ht="15" customHeight="1">
      <c r="A29" s="465" t="s">
        <v>119</v>
      </c>
      <c r="B29" s="466" t="s">
        <v>989</v>
      </c>
      <c r="C29" s="463" t="s">
        <v>361</v>
      </c>
      <c r="D29" s="546"/>
      <c r="E29" s="547"/>
      <c r="F29" s="548"/>
      <c r="G29" s="547"/>
      <c r="H29" s="547"/>
      <c r="I29" s="548"/>
      <c r="J29" s="547"/>
      <c r="L29" s="456"/>
    </row>
    <row r="30" spans="1:12" s="28" customFormat="1" ht="15" customHeight="1">
      <c r="A30" s="465" t="s">
        <v>124</v>
      </c>
      <c r="B30" s="466" t="s">
        <v>990</v>
      </c>
      <c r="C30" s="463" t="s">
        <v>361</v>
      </c>
      <c r="D30" s="546"/>
      <c r="E30" s="547"/>
      <c r="F30" s="548"/>
      <c r="G30" s="547"/>
      <c r="H30" s="547"/>
      <c r="I30" s="548"/>
      <c r="J30" s="547"/>
      <c r="L30" s="456"/>
    </row>
    <row r="31" spans="1:12" s="28" customFormat="1" ht="15" customHeight="1">
      <c r="A31" s="465" t="s">
        <v>91</v>
      </c>
      <c r="B31" s="466" t="s">
        <v>839</v>
      </c>
      <c r="C31" s="463" t="s">
        <v>361</v>
      </c>
      <c r="D31" s="546"/>
      <c r="E31" s="547">
        <v>20</v>
      </c>
      <c r="F31" s="548">
        <v>30</v>
      </c>
      <c r="G31" s="547">
        <v>30</v>
      </c>
      <c r="H31" s="547">
        <v>30</v>
      </c>
      <c r="I31" s="548">
        <v>30</v>
      </c>
      <c r="J31" s="547">
        <v>30</v>
      </c>
      <c r="L31" s="456"/>
    </row>
    <row r="32" spans="1:12" s="28" customFormat="1" ht="15" customHeight="1">
      <c r="A32" s="465" t="s">
        <v>92</v>
      </c>
      <c r="B32" s="466" t="s">
        <v>840</v>
      </c>
      <c r="C32" s="463" t="s">
        <v>361</v>
      </c>
      <c r="D32" s="546">
        <v>20</v>
      </c>
      <c r="E32" s="547"/>
      <c r="F32" s="548"/>
      <c r="G32" s="547"/>
      <c r="H32" s="547"/>
      <c r="I32" s="548"/>
      <c r="J32" s="547"/>
      <c r="L32" s="456"/>
    </row>
    <row r="33" spans="1:14" s="28" customFormat="1" ht="15" customHeight="1">
      <c r="A33" s="453" t="s">
        <v>809</v>
      </c>
      <c r="B33" s="454" t="s">
        <v>838</v>
      </c>
      <c r="C33" s="455" t="s">
        <v>810</v>
      </c>
      <c r="D33" s="2517">
        <f t="shared" ref="D33:J33" si="8">IFERROR(D28*1000/(D15+D20),0)</f>
        <v>46.620046620046622</v>
      </c>
      <c r="E33" s="2517">
        <f t="shared" si="8"/>
        <v>28.571428571428573</v>
      </c>
      <c r="F33" s="2517">
        <f t="shared" si="8"/>
        <v>60</v>
      </c>
      <c r="G33" s="2517">
        <f t="shared" si="8"/>
        <v>42.857142857142854</v>
      </c>
      <c r="H33" s="2517">
        <f t="shared" si="8"/>
        <v>54.545454545454547</v>
      </c>
      <c r="I33" s="2517">
        <f t="shared" si="8"/>
        <v>42.857142857142854</v>
      </c>
      <c r="J33" s="2517">
        <f t="shared" si="8"/>
        <v>50</v>
      </c>
      <c r="L33" s="456"/>
    </row>
    <row r="34" spans="1:14" s="468" customFormat="1" ht="8.25" customHeight="1">
      <c r="A34" s="541"/>
      <c r="B34" s="542"/>
      <c r="C34" s="543"/>
      <c r="D34" s="2518"/>
      <c r="E34" s="2518"/>
      <c r="F34" s="2518"/>
      <c r="G34" s="2518"/>
      <c r="H34" s="2518"/>
      <c r="I34" s="2518"/>
      <c r="J34" s="2518"/>
      <c r="L34" s="544"/>
    </row>
    <row r="35" spans="1:14" s="468" customFormat="1" ht="15" customHeight="1">
      <c r="A35" s="3476" t="s">
        <v>913</v>
      </c>
      <c r="B35" s="3477"/>
      <c r="C35" s="3478"/>
      <c r="D35" s="2519">
        <f>(D30+D32)-('12. Разходи'!Q47+'12. Разходи'!Q48)</f>
        <v>0</v>
      </c>
      <c r="E35" s="2519">
        <f>(E30+E32)-('12. Разходи'!R47+'12. Разходи'!R48)</f>
        <v>0</v>
      </c>
      <c r="F35" s="2519">
        <f>(F30+F32)-('12. Разходи'!S47+'12. Разходи'!S48)</f>
        <v>0</v>
      </c>
      <c r="G35" s="2519">
        <f>(G30+G32)-('12. Разходи'!T47+'12. Разходи'!T48)</f>
        <v>0</v>
      </c>
      <c r="H35" s="2519">
        <f>(H30+H32)-('12. Разходи'!U47+'12. Разходи'!U48)</f>
        <v>0</v>
      </c>
      <c r="I35" s="2519">
        <f>(I30+I32)-('12. Разходи'!V47+'12. Разходи'!V48)</f>
        <v>0</v>
      </c>
      <c r="J35" s="2519">
        <f>(J30+J32)-('12. Разходи'!W47+'12. Разходи'!W48)</f>
        <v>0</v>
      </c>
      <c r="L35" s="544"/>
    </row>
    <row r="36" spans="1:14" s="468" customFormat="1" ht="15" customHeight="1">
      <c r="A36" s="541"/>
      <c r="B36" s="542"/>
      <c r="C36" s="543"/>
      <c r="D36" s="549"/>
      <c r="E36" s="549"/>
      <c r="F36" s="549"/>
      <c r="G36" s="549"/>
      <c r="H36" s="549"/>
      <c r="I36" s="549"/>
      <c r="J36" s="549"/>
      <c r="L36" s="544"/>
    </row>
    <row r="37" spans="1:14" s="28" customFormat="1" ht="29.25" customHeight="1">
      <c r="B37" s="467" t="str">
        <f>'6. Ел.Енергия'!B71</f>
        <v>Дата: 27.08.2018 г.</v>
      </c>
      <c r="C37" s="468"/>
      <c r="D37" s="550"/>
      <c r="E37" s="550"/>
      <c r="F37" s="550"/>
      <c r="G37" s="550"/>
      <c r="H37" s="551"/>
      <c r="I37" s="551"/>
      <c r="J37" s="551"/>
      <c r="L37" s="469"/>
      <c r="M37" s="469"/>
    </row>
    <row r="38" spans="1:14" s="28" customFormat="1" ht="14.25" customHeight="1">
      <c r="B38" s="470"/>
      <c r="C38" s="470"/>
      <c r="D38" s="553" t="str">
        <f>'6. Ел.Енергия'!E72</f>
        <v>Главен счетоводител:</v>
      </c>
      <c r="F38" s="552" t="s">
        <v>4</v>
      </c>
      <c r="G38" s="550"/>
      <c r="H38" s="551"/>
      <c r="I38" s="554"/>
      <c r="J38" s="555"/>
      <c r="K38" s="471"/>
      <c r="L38" s="472"/>
      <c r="M38" s="472"/>
      <c r="N38" s="471"/>
    </row>
    <row r="39" spans="1:14" s="28" customFormat="1" ht="12">
      <c r="B39" s="468"/>
      <c r="C39" s="468"/>
      <c r="D39" s="550"/>
      <c r="E39" s="556"/>
      <c r="F39" s="552"/>
      <c r="G39" s="473" t="s">
        <v>246</v>
      </c>
      <c r="H39" s="551"/>
      <c r="I39" s="551"/>
      <c r="J39" s="555"/>
      <c r="K39" s="471"/>
      <c r="L39" s="472"/>
      <c r="M39" s="472"/>
      <c r="N39" s="471"/>
    </row>
    <row r="40" spans="1:14" s="28" customFormat="1" ht="12">
      <c r="B40" s="468"/>
      <c r="C40" s="468"/>
      <c r="D40" s="550"/>
      <c r="E40" s="556"/>
      <c r="F40" s="552"/>
      <c r="G40" s="473"/>
      <c r="H40" s="551"/>
      <c r="I40" s="551"/>
      <c r="J40" s="555"/>
      <c r="K40" s="471"/>
      <c r="L40" s="472"/>
      <c r="M40" s="472"/>
      <c r="N40" s="471"/>
    </row>
    <row r="41" spans="1:14" s="28" customFormat="1" ht="12">
      <c r="B41" s="468"/>
      <c r="C41" s="468"/>
      <c r="D41" s="550"/>
      <c r="E41" s="556"/>
      <c r="F41" s="552"/>
      <c r="G41" s="473"/>
      <c r="H41" s="551"/>
      <c r="I41" s="551"/>
      <c r="J41" s="555"/>
      <c r="K41" s="471"/>
      <c r="L41" s="472"/>
      <c r="M41" s="472"/>
      <c r="N41" s="471"/>
    </row>
    <row r="42" spans="1:14" s="28" customFormat="1" ht="12">
      <c r="B42" s="468"/>
      <c r="C42" s="468"/>
      <c r="D42" s="550"/>
      <c r="E42" s="553" t="str">
        <f>'6. Ел.Енергия'!E76</f>
        <v>Управител:</v>
      </c>
      <c r="F42" s="552" t="s">
        <v>4</v>
      </c>
      <c r="G42" s="550"/>
      <c r="H42" s="551"/>
      <c r="I42" s="551"/>
      <c r="J42" s="557"/>
      <c r="K42" s="474"/>
      <c r="L42" s="472"/>
      <c r="M42" s="472"/>
      <c r="N42" s="474"/>
    </row>
    <row r="43" spans="1:14" s="28" customFormat="1" ht="12">
      <c r="B43" s="468"/>
      <c r="C43" s="468"/>
      <c r="D43" s="550"/>
      <c r="E43" s="558"/>
      <c r="F43" s="551"/>
      <c r="G43" s="473" t="s">
        <v>6</v>
      </c>
      <c r="H43" s="551"/>
      <c r="I43" s="551"/>
      <c r="J43" s="559"/>
      <c r="K43" s="475"/>
      <c r="L43" s="472"/>
      <c r="M43" s="472"/>
      <c r="N43" s="475"/>
    </row>
    <row r="44" spans="1:14" s="28" customFormat="1" ht="12">
      <c r="B44" s="468"/>
      <c r="C44" s="468"/>
      <c r="D44" s="550"/>
      <c r="E44" s="558"/>
      <c r="F44" s="551"/>
      <c r="G44" s="473"/>
      <c r="H44" s="551"/>
      <c r="I44" s="551"/>
      <c r="J44" s="559"/>
      <c r="K44" s="475"/>
      <c r="L44" s="472"/>
      <c r="M44" s="472"/>
      <c r="N44" s="475"/>
    </row>
    <row r="45" spans="1:14" s="28" customFormat="1" ht="12">
      <c r="A45" s="3480" t="s">
        <v>247</v>
      </c>
      <c r="B45" s="3480"/>
      <c r="C45" s="3480"/>
      <c r="D45" s="3480"/>
      <c r="E45" s="560"/>
      <c r="F45" s="560"/>
      <c r="G45" s="560"/>
      <c r="H45" s="551"/>
      <c r="I45" s="551"/>
      <c r="J45" s="551"/>
    </row>
    <row r="46" spans="1:14" s="476" customFormat="1" ht="12">
      <c r="A46" s="3481" t="s">
        <v>248</v>
      </c>
      <c r="B46" s="3481"/>
      <c r="C46" s="3481"/>
      <c r="D46" s="3481"/>
      <c r="E46" s="560"/>
      <c r="F46" s="560"/>
      <c r="G46" s="560"/>
      <c r="H46" s="561"/>
      <c r="I46" s="561"/>
      <c r="J46" s="27"/>
      <c r="K46" s="477"/>
    </row>
    <row r="47" spans="1:14" s="476" customFormat="1" ht="12">
      <c r="A47" s="3479" t="s">
        <v>1552</v>
      </c>
      <c r="B47" s="3479"/>
      <c r="C47" s="3479"/>
      <c r="D47" s="3479"/>
      <c r="E47" s="3479"/>
      <c r="F47" s="551"/>
      <c r="G47" s="551"/>
      <c r="H47" s="561"/>
      <c r="I47" s="561"/>
      <c r="J47" s="27"/>
    </row>
    <row r="48" spans="1:14" s="28" customFormat="1" ht="12">
      <c r="A48" s="478"/>
      <c r="D48" s="551"/>
      <c r="E48" s="551"/>
      <c r="F48" s="551"/>
      <c r="G48" s="551"/>
      <c r="H48" s="551"/>
      <c r="I48" s="551"/>
      <c r="J48" s="551"/>
    </row>
  </sheetData>
  <sheetProtection password="C6DB" sheet="1" objects="1" scenarios="1" formatCells="0" formatColumns="0" formatRows="0"/>
  <mergeCells count="17">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 ref="J8:J9"/>
  </mergeCells>
  <printOptions horizontalCentered="1"/>
  <pageMargins left="0.3" right="0.35" top="0.55118110236220474" bottom="0.39370078740157483" header="0.31496062992125984" footer="0.39370078740157483"/>
  <pageSetup paperSize="9" scale="67"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CC"/>
  </sheetPr>
  <dimension ref="A1:W63"/>
  <sheetViews>
    <sheetView view="pageBreakPreview" zoomScale="85" zoomScaleNormal="100" zoomScaleSheetLayoutView="85" workbookViewId="0">
      <pane xSplit="17" ySplit="7" topLeftCell="U20" activePane="bottomRight" state="frozen"/>
      <selection pane="topRight" activeCell="R1" sqref="R1"/>
      <selection pane="bottomLeft" activeCell="A8" sqref="A8"/>
      <selection pane="bottomRight" activeCell="B31" sqref="B31"/>
    </sheetView>
  </sheetViews>
  <sheetFormatPr defaultRowHeight="12.75"/>
  <cols>
    <col min="1" max="1" width="9.7109375" style="171" customWidth="1"/>
    <col min="2" max="2" width="42" style="180" customWidth="1"/>
    <col min="3" max="3" width="10" style="171" customWidth="1"/>
    <col min="4" max="4" width="7.28515625" style="171" customWidth="1"/>
    <col min="5" max="10" width="7" style="171" customWidth="1"/>
    <col min="11" max="11" width="7.7109375" style="171" customWidth="1"/>
    <col min="12" max="12" width="6.42578125" style="171" customWidth="1"/>
    <col min="13" max="13" width="6" style="171" customWidth="1"/>
    <col min="14" max="14" width="7.140625" style="171" customWidth="1"/>
    <col min="15" max="15" width="6.42578125" style="171" bestFit="1" customWidth="1"/>
    <col min="16" max="16" width="7.42578125" style="171" bestFit="1" customWidth="1"/>
    <col min="17" max="17" width="7.140625" style="171" customWidth="1"/>
    <col min="18" max="18" width="6" style="171" customWidth="1"/>
    <col min="19" max="16384" width="9.140625" style="171"/>
  </cols>
  <sheetData>
    <row r="1" spans="1:18" ht="15">
      <c r="L1" s="589"/>
      <c r="M1" s="589"/>
      <c r="N1" s="589"/>
      <c r="O1" s="589"/>
      <c r="Q1" s="806" t="s">
        <v>1509</v>
      </c>
      <c r="R1" s="589"/>
    </row>
    <row r="2" spans="1:18" ht="39.75" customHeight="1">
      <c r="A2" s="3482" t="s">
        <v>875</v>
      </c>
      <c r="B2" s="3482"/>
      <c r="C2" s="3482"/>
      <c r="D2" s="3482"/>
      <c r="E2" s="3482"/>
      <c r="F2" s="3482"/>
      <c r="G2" s="3482"/>
      <c r="H2" s="3482"/>
      <c r="I2" s="3482"/>
      <c r="J2" s="3482"/>
      <c r="K2" s="3482"/>
      <c r="L2" s="3482"/>
      <c r="M2" s="3482"/>
      <c r="N2" s="3482"/>
      <c r="O2" s="3482"/>
      <c r="P2" s="3482"/>
      <c r="Q2" s="3482"/>
      <c r="R2" s="589"/>
    </row>
    <row r="3" spans="1:18" ht="15.75">
      <c r="A3" s="3483" t="str">
        <f>'1. Анкетна карта'!A3:J3</f>
        <v>на "Водоснабдяване и канализация" ЕООД , гр. Благоевград</v>
      </c>
      <c r="B3" s="3483"/>
      <c r="C3" s="3483"/>
      <c r="D3" s="3483"/>
      <c r="E3" s="3483"/>
      <c r="F3" s="3483"/>
      <c r="G3" s="3483"/>
      <c r="H3" s="3483"/>
      <c r="I3" s="3483"/>
      <c r="J3" s="3483"/>
      <c r="K3" s="3483"/>
      <c r="L3" s="3483"/>
      <c r="M3" s="3483"/>
      <c r="N3" s="3483"/>
      <c r="O3" s="3483"/>
      <c r="P3" s="3483"/>
      <c r="Q3" s="3483"/>
      <c r="R3" s="589"/>
    </row>
    <row r="4" spans="1:18" ht="15.75">
      <c r="A4" s="3483" t="str">
        <f>'1. Анкетна карта'!A4:J4</f>
        <v>ЕИК по БУЛСТАТ: 811047831</v>
      </c>
      <c r="B4" s="3483"/>
      <c r="C4" s="3483"/>
      <c r="D4" s="3483"/>
      <c r="E4" s="3483"/>
      <c r="F4" s="3483"/>
      <c r="G4" s="3483"/>
      <c r="H4" s="3483"/>
      <c r="I4" s="3483"/>
      <c r="J4" s="3483"/>
      <c r="K4" s="3483"/>
      <c r="L4" s="3483"/>
      <c r="M4" s="3483"/>
      <c r="N4" s="3483"/>
      <c r="O4" s="3483"/>
      <c r="P4" s="3483"/>
      <c r="Q4" s="3483"/>
      <c r="R4" s="589"/>
    </row>
    <row r="5" spans="1:18" ht="16.5" thickBot="1">
      <c r="A5" s="3489"/>
      <c r="B5" s="3489"/>
      <c r="C5" s="3489"/>
      <c r="D5" s="3489"/>
      <c r="E5" s="3489"/>
      <c r="F5" s="3489"/>
      <c r="G5" s="3489"/>
      <c r="H5" s="3489"/>
      <c r="I5" s="3489"/>
      <c r="J5" s="3489"/>
      <c r="K5" s="3489"/>
      <c r="L5" s="661"/>
      <c r="M5" s="661"/>
      <c r="N5" s="661"/>
      <c r="O5" s="661"/>
      <c r="P5" s="661"/>
      <c r="Q5" s="661"/>
      <c r="R5" s="661"/>
    </row>
    <row r="6" spans="1:18" ht="23.25" customHeight="1">
      <c r="A6" s="3493" t="s">
        <v>264</v>
      </c>
      <c r="B6" s="3495" t="s">
        <v>639</v>
      </c>
      <c r="C6" s="3497" t="s">
        <v>640</v>
      </c>
      <c r="D6" s="3490" t="s">
        <v>1195</v>
      </c>
      <c r="E6" s="3491"/>
      <c r="F6" s="3491"/>
      <c r="G6" s="3491"/>
      <c r="H6" s="3491"/>
      <c r="I6" s="3491"/>
      <c r="J6" s="3492"/>
      <c r="K6" s="3484" t="s">
        <v>641</v>
      </c>
      <c r="L6" s="3485"/>
      <c r="M6" s="3485"/>
      <c r="N6" s="3485"/>
      <c r="O6" s="3485"/>
      <c r="P6" s="3485"/>
      <c r="Q6" s="3486"/>
    </row>
    <row r="7" spans="1:18" ht="27" customHeight="1" thickBot="1">
      <c r="A7" s="3494"/>
      <c r="B7" s="3496"/>
      <c r="C7" s="3498"/>
      <c r="D7" s="871" t="str">
        <f>'Приложение '!$G12</f>
        <v>2015 г.</v>
      </c>
      <c r="E7" s="872" t="str">
        <f>'Приложение '!$G13</f>
        <v>2016 г.</v>
      </c>
      <c r="F7" s="872" t="str">
        <f>'Приложение '!$G14</f>
        <v>2017 г.</v>
      </c>
      <c r="G7" s="872" t="str">
        <f>'Приложение '!$G15</f>
        <v>2018 г.</v>
      </c>
      <c r="H7" s="872" t="str">
        <f>'Приложение '!$G16</f>
        <v>2019 г.</v>
      </c>
      <c r="I7" s="872" t="str">
        <f>'Приложение '!$G17</f>
        <v>2020 г.</v>
      </c>
      <c r="J7" s="873" t="str">
        <f>'Приложение '!$G18</f>
        <v>2021 г.</v>
      </c>
      <c r="K7" s="874" t="str">
        <f>D7</f>
        <v>2015 г.</v>
      </c>
      <c r="L7" s="875" t="str">
        <f t="shared" ref="L7:Q7" si="0">E7</f>
        <v>2016 г.</v>
      </c>
      <c r="M7" s="875" t="str">
        <f t="shared" si="0"/>
        <v>2017 г.</v>
      </c>
      <c r="N7" s="875" t="str">
        <f t="shared" si="0"/>
        <v>2018 г.</v>
      </c>
      <c r="O7" s="875" t="str">
        <f t="shared" si="0"/>
        <v>2019 г.</v>
      </c>
      <c r="P7" s="875" t="str">
        <f t="shared" si="0"/>
        <v>2020 г.</v>
      </c>
      <c r="Q7" s="876" t="str">
        <f t="shared" si="0"/>
        <v>2021 г.</v>
      </c>
      <c r="R7" s="590"/>
    </row>
    <row r="8" spans="1:18" ht="15" thickBot="1">
      <c r="A8" s="2542">
        <v>1</v>
      </c>
      <c r="B8" s="2543" t="s">
        <v>1194</v>
      </c>
      <c r="C8" s="2544"/>
      <c r="D8" s="782"/>
      <c r="E8" s="782"/>
      <c r="F8" s="782"/>
      <c r="G8" s="782"/>
      <c r="H8" s="782"/>
      <c r="I8" s="782"/>
      <c r="J8" s="782"/>
      <c r="K8" s="782"/>
      <c r="L8" s="782"/>
      <c r="M8" s="782"/>
      <c r="N8" s="782"/>
      <c r="O8" s="782"/>
      <c r="P8" s="782"/>
      <c r="Q8" s="783"/>
      <c r="R8" s="591"/>
    </row>
    <row r="9" spans="1:18">
      <c r="A9" s="2545" t="s">
        <v>642</v>
      </c>
      <c r="B9" s="2546" t="s">
        <v>643</v>
      </c>
      <c r="C9" s="2808" t="s">
        <v>908</v>
      </c>
      <c r="D9" s="795"/>
      <c r="E9" s="796"/>
      <c r="F9" s="796"/>
      <c r="G9" s="796"/>
      <c r="H9" s="796">
        <v>1</v>
      </c>
      <c r="I9" s="796">
        <v>1</v>
      </c>
      <c r="J9" s="797">
        <v>1</v>
      </c>
      <c r="K9" s="804"/>
      <c r="L9" s="801"/>
      <c r="M9" s="801"/>
      <c r="N9" s="801"/>
      <c r="O9" s="801">
        <v>2</v>
      </c>
      <c r="P9" s="801">
        <v>2</v>
      </c>
      <c r="Q9" s="802">
        <v>2</v>
      </c>
      <c r="R9" s="174"/>
    </row>
    <row r="10" spans="1:18">
      <c r="A10" s="2547" t="s">
        <v>644</v>
      </c>
      <c r="B10" s="2548" t="s">
        <v>988</v>
      </c>
      <c r="C10" s="2809" t="s">
        <v>908</v>
      </c>
      <c r="D10" s="780">
        <v>317</v>
      </c>
      <c r="E10" s="781">
        <v>301</v>
      </c>
      <c r="F10" s="781">
        <v>236</v>
      </c>
      <c r="G10" s="781">
        <v>226</v>
      </c>
      <c r="H10" s="781">
        <v>225</v>
      </c>
      <c r="I10" s="781">
        <v>223</v>
      </c>
      <c r="J10" s="790">
        <v>211</v>
      </c>
      <c r="K10" s="780">
        <v>308</v>
      </c>
      <c r="L10" s="781">
        <v>298</v>
      </c>
      <c r="M10" s="781">
        <v>280</v>
      </c>
      <c r="N10" s="781">
        <v>268</v>
      </c>
      <c r="O10" s="781">
        <v>267</v>
      </c>
      <c r="P10" s="781">
        <v>265</v>
      </c>
      <c r="Q10" s="790">
        <v>250</v>
      </c>
      <c r="R10" s="174"/>
    </row>
    <row r="11" spans="1:18" ht="24">
      <c r="A11" s="2547" t="s">
        <v>645</v>
      </c>
      <c r="B11" s="2548" t="s">
        <v>646</v>
      </c>
      <c r="C11" s="2809" t="s">
        <v>908</v>
      </c>
      <c r="D11" s="780">
        <v>1251</v>
      </c>
      <c r="E11" s="781">
        <v>1240</v>
      </c>
      <c r="F11" s="781">
        <v>1200</v>
      </c>
      <c r="G11" s="781">
        <v>1160</v>
      </c>
      <c r="H11" s="781">
        <v>1170</v>
      </c>
      <c r="I11" s="781">
        <v>1226</v>
      </c>
      <c r="J11" s="790">
        <v>1166</v>
      </c>
      <c r="K11" s="780">
        <v>700</v>
      </c>
      <c r="L11" s="781">
        <v>730</v>
      </c>
      <c r="M11" s="781">
        <v>725</v>
      </c>
      <c r="N11" s="781">
        <v>701</v>
      </c>
      <c r="O11" s="781">
        <v>707</v>
      </c>
      <c r="P11" s="781">
        <v>741</v>
      </c>
      <c r="Q11" s="790">
        <v>704</v>
      </c>
      <c r="R11" s="174"/>
    </row>
    <row r="12" spans="1:18">
      <c r="A12" s="2547" t="s">
        <v>647</v>
      </c>
      <c r="B12" s="2548" t="s">
        <v>648</v>
      </c>
      <c r="C12" s="2809" t="s">
        <v>908</v>
      </c>
      <c r="D12" s="780">
        <v>495</v>
      </c>
      <c r="E12" s="781">
        <v>510</v>
      </c>
      <c r="F12" s="781">
        <v>500</v>
      </c>
      <c r="G12" s="781">
        <v>480</v>
      </c>
      <c r="H12" s="781">
        <v>510</v>
      </c>
      <c r="I12" s="781">
        <v>557</v>
      </c>
      <c r="J12" s="790">
        <v>547</v>
      </c>
      <c r="K12" s="780">
        <v>145</v>
      </c>
      <c r="L12" s="781">
        <v>165</v>
      </c>
      <c r="M12" s="781">
        <v>164</v>
      </c>
      <c r="N12" s="781">
        <v>157</v>
      </c>
      <c r="O12" s="781">
        <v>165</v>
      </c>
      <c r="P12" s="781">
        <v>183</v>
      </c>
      <c r="Q12" s="790">
        <v>179</v>
      </c>
      <c r="R12" s="174"/>
    </row>
    <row r="13" spans="1:18">
      <c r="A13" s="2547" t="s">
        <v>649</v>
      </c>
      <c r="B13" s="2548" t="s">
        <v>650</v>
      </c>
      <c r="C13" s="2809" t="s">
        <v>908</v>
      </c>
      <c r="D13" s="780">
        <v>89</v>
      </c>
      <c r="E13" s="781">
        <v>78</v>
      </c>
      <c r="F13" s="781">
        <v>80</v>
      </c>
      <c r="G13" s="781">
        <v>80</v>
      </c>
      <c r="H13" s="781">
        <v>90</v>
      </c>
      <c r="I13" s="781">
        <v>150</v>
      </c>
      <c r="J13" s="790">
        <v>150</v>
      </c>
      <c r="K13" s="780">
        <v>13</v>
      </c>
      <c r="L13" s="781">
        <v>14</v>
      </c>
      <c r="M13" s="781">
        <v>14</v>
      </c>
      <c r="N13" s="781">
        <v>14</v>
      </c>
      <c r="O13" s="781">
        <v>16</v>
      </c>
      <c r="P13" s="781">
        <v>26</v>
      </c>
      <c r="Q13" s="790">
        <v>26</v>
      </c>
      <c r="R13" s="174"/>
    </row>
    <row r="14" spans="1:18">
      <c r="A14" s="2547" t="s">
        <v>651</v>
      </c>
      <c r="B14" s="2548" t="s">
        <v>652</v>
      </c>
      <c r="C14" s="2809" t="s">
        <v>908</v>
      </c>
      <c r="D14" s="780">
        <v>3</v>
      </c>
      <c r="E14" s="781">
        <v>4</v>
      </c>
      <c r="F14" s="781">
        <v>4</v>
      </c>
      <c r="G14" s="781">
        <v>4</v>
      </c>
      <c r="H14" s="781">
        <v>4</v>
      </c>
      <c r="I14" s="781">
        <v>20</v>
      </c>
      <c r="J14" s="790">
        <v>20</v>
      </c>
      <c r="K14" s="780">
        <v>5</v>
      </c>
      <c r="L14" s="781">
        <v>5</v>
      </c>
      <c r="M14" s="781">
        <v>5</v>
      </c>
      <c r="N14" s="781">
        <v>5</v>
      </c>
      <c r="O14" s="781">
        <v>5</v>
      </c>
      <c r="P14" s="781">
        <v>25</v>
      </c>
      <c r="Q14" s="790">
        <v>25</v>
      </c>
      <c r="R14" s="174"/>
    </row>
    <row r="15" spans="1:18">
      <c r="A15" s="2547" t="s">
        <v>653</v>
      </c>
      <c r="B15" s="2548" t="s">
        <v>654</v>
      </c>
      <c r="C15" s="2809" t="s">
        <v>908</v>
      </c>
      <c r="D15" s="780">
        <v>12</v>
      </c>
      <c r="E15" s="781"/>
      <c r="F15" s="781">
        <v>12</v>
      </c>
      <c r="G15" s="781">
        <v>12</v>
      </c>
      <c r="H15" s="781">
        <v>14</v>
      </c>
      <c r="I15" s="781">
        <v>21</v>
      </c>
      <c r="J15" s="790">
        <v>21</v>
      </c>
      <c r="K15" s="780">
        <v>10</v>
      </c>
      <c r="L15" s="781"/>
      <c r="M15" s="781">
        <v>10</v>
      </c>
      <c r="N15" s="781">
        <v>10</v>
      </c>
      <c r="O15" s="781">
        <v>12</v>
      </c>
      <c r="P15" s="781">
        <v>18</v>
      </c>
      <c r="Q15" s="790">
        <v>18</v>
      </c>
      <c r="R15" s="174"/>
    </row>
    <row r="16" spans="1:18" ht="24">
      <c r="A16" s="2547" t="s">
        <v>655</v>
      </c>
      <c r="B16" s="2548" t="s">
        <v>656</v>
      </c>
      <c r="C16" s="2809" t="s">
        <v>908</v>
      </c>
      <c r="D16" s="780">
        <v>20</v>
      </c>
      <c r="E16" s="781">
        <v>20</v>
      </c>
      <c r="F16" s="781">
        <v>20</v>
      </c>
      <c r="G16" s="781">
        <v>20</v>
      </c>
      <c r="H16" s="781">
        <v>20</v>
      </c>
      <c r="I16" s="781">
        <v>32</v>
      </c>
      <c r="J16" s="790">
        <v>32</v>
      </c>
      <c r="K16" s="780">
        <v>8</v>
      </c>
      <c r="L16" s="781">
        <v>8</v>
      </c>
      <c r="M16" s="781">
        <v>8</v>
      </c>
      <c r="N16" s="781">
        <v>8</v>
      </c>
      <c r="O16" s="781">
        <v>8</v>
      </c>
      <c r="P16" s="781">
        <v>13</v>
      </c>
      <c r="Q16" s="790">
        <v>13</v>
      </c>
      <c r="R16" s="174"/>
    </row>
    <row r="17" spans="1:18">
      <c r="A17" s="2547" t="s">
        <v>657</v>
      </c>
      <c r="B17" s="2548" t="s">
        <v>658</v>
      </c>
      <c r="C17" s="2809" t="s">
        <v>908</v>
      </c>
      <c r="D17" s="780">
        <v>1</v>
      </c>
      <c r="E17" s="781">
        <v>1</v>
      </c>
      <c r="F17" s="781">
        <v>1</v>
      </c>
      <c r="G17" s="781">
        <v>1</v>
      </c>
      <c r="H17" s="781">
        <v>1</v>
      </c>
      <c r="I17" s="781">
        <v>1</v>
      </c>
      <c r="J17" s="790">
        <v>1</v>
      </c>
      <c r="K17" s="780">
        <v>8</v>
      </c>
      <c r="L17" s="781">
        <v>8</v>
      </c>
      <c r="M17" s="781">
        <v>10</v>
      </c>
      <c r="N17" s="781">
        <v>10</v>
      </c>
      <c r="O17" s="781">
        <v>10</v>
      </c>
      <c r="P17" s="781">
        <v>10</v>
      </c>
      <c r="Q17" s="790">
        <v>10</v>
      </c>
      <c r="R17" s="174"/>
    </row>
    <row r="18" spans="1:18" ht="24">
      <c r="A18" s="2547" t="s">
        <v>659</v>
      </c>
      <c r="B18" s="2548" t="s">
        <v>660</v>
      </c>
      <c r="C18" s="2809" t="s">
        <v>908</v>
      </c>
      <c r="D18" s="780"/>
      <c r="E18" s="781">
        <v>2</v>
      </c>
      <c r="F18" s="781">
        <v>3</v>
      </c>
      <c r="G18" s="781">
        <v>10</v>
      </c>
      <c r="H18" s="781">
        <v>10</v>
      </c>
      <c r="I18" s="781">
        <v>27</v>
      </c>
      <c r="J18" s="790">
        <v>31</v>
      </c>
      <c r="K18" s="780"/>
      <c r="L18" s="781">
        <v>3</v>
      </c>
      <c r="M18" s="781">
        <v>3</v>
      </c>
      <c r="N18" s="781">
        <v>10</v>
      </c>
      <c r="O18" s="781">
        <v>10</v>
      </c>
      <c r="P18" s="781">
        <v>27</v>
      </c>
      <c r="Q18" s="790">
        <v>31</v>
      </c>
      <c r="R18" s="174"/>
    </row>
    <row r="19" spans="1:18">
      <c r="A19" s="2547" t="s">
        <v>915</v>
      </c>
      <c r="B19" s="2549" t="s">
        <v>1198</v>
      </c>
      <c r="C19" s="2809" t="s">
        <v>908</v>
      </c>
      <c r="D19" s="798">
        <v>30</v>
      </c>
      <c r="E19" s="779">
        <v>30</v>
      </c>
      <c r="F19" s="779">
        <v>30</v>
      </c>
      <c r="G19" s="779">
        <v>30</v>
      </c>
      <c r="H19" s="779">
        <v>30</v>
      </c>
      <c r="I19" s="779">
        <v>34</v>
      </c>
      <c r="J19" s="799">
        <v>34</v>
      </c>
      <c r="K19" s="780">
        <v>26</v>
      </c>
      <c r="L19" s="781">
        <v>26</v>
      </c>
      <c r="M19" s="781">
        <v>25</v>
      </c>
      <c r="N19" s="781">
        <v>25</v>
      </c>
      <c r="O19" s="781">
        <v>25</v>
      </c>
      <c r="P19" s="781">
        <v>28</v>
      </c>
      <c r="Q19" s="790">
        <v>28</v>
      </c>
      <c r="R19" s="174"/>
    </row>
    <row r="20" spans="1:18">
      <c r="A20" s="2547" t="s">
        <v>995</v>
      </c>
      <c r="B20" s="2549" t="s">
        <v>1199</v>
      </c>
      <c r="C20" s="2809" t="s">
        <v>908</v>
      </c>
      <c r="D20" s="780"/>
      <c r="E20" s="781">
        <v>10</v>
      </c>
      <c r="F20" s="781">
        <v>10</v>
      </c>
      <c r="G20" s="781">
        <v>10</v>
      </c>
      <c r="H20" s="781">
        <v>10</v>
      </c>
      <c r="I20" s="781">
        <v>15</v>
      </c>
      <c r="J20" s="790">
        <v>15</v>
      </c>
      <c r="K20" s="780">
        <v>22</v>
      </c>
      <c r="L20" s="781">
        <v>10</v>
      </c>
      <c r="M20" s="781">
        <v>9</v>
      </c>
      <c r="N20" s="781">
        <v>9</v>
      </c>
      <c r="O20" s="781">
        <v>9</v>
      </c>
      <c r="P20" s="781">
        <v>14</v>
      </c>
      <c r="Q20" s="790">
        <v>14</v>
      </c>
      <c r="R20" s="174"/>
    </row>
    <row r="21" spans="1:18">
      <c r="A21" s="2547" t="s">
        <v>996</v>
      </c>
      <c r="B21" s="2550" t="s">
        <v>975</v>
      </c>
      <c r="C21" s="2809" t="s">
        <v>908</v>
      </c>
      <c r="D21" s="798"/>
      <c r="E21" s="779"/>
      <c r="F21" s="779"/>
      <c r="G21" s="779"/>
      <c r="H21" s="3204"/>
      <c r="I21" s="779"/>
      <c r="J21" s="799"/>
      <c r="K21" s="780"/>
      <c r="L21" s="781"/>
      <c r="M21" s="781"/>
      <c r="N21" s="781"/>
      <c r="O21" s="3203"/>
      <c r="P21" s="781"/>
      <c r="Q21" s="790"/>
      <c r="R21" s="174"/>
    </row>
    <row r="22" spans="1:18" ht="24.75" thickBot="1">
      <c r="A22" s="2547" t="s">
        <v>997</v>
      </c>
      <c r="B22" s="2548" t="s">
        <v>978</v>
      </c>
      <c r="C22" s="2809" t="s">
        <v>380</v>
      </c>
      <c r="D22" s="798"/>
      <c r="E22" s="779"/>
      <c r="F22" s="779"/>
      <c r="G22" s="779"/>
      <c r="H22" s="3204"/>
      <c r="I22" s="779"/>
      <c r="J22" s="799"/>
      <c r="K22" s="780"/>
      <c r="L22" s="781"/>
      <c r="M22" s="781"/>
      <c r="N22" s="781"/>
      <c r="O22" s="781"/>
      <c r="P22" s="781"/>
      <c r="Q22" s="790"/>
      <c r="R22" s="174"/>
    </row>
    <row r="23" spans="1:18" ht="24" customHeight="1" thickBot="1">
      <c r="A23" s="2551"/>
      <c r="B23" s="2552" t="s">
        <v>1196</v>
      </c>
      <c r="C23" s="2553"/>
      <c r="D23" s="2520">
        <f t="shared" ref="D23:Q23" si="1">SUM(D9:D22)</f>
        <v>2218</v>
      </c>
      <c r="E23" s="2521">
        <f t="shared" si="1"/>
        <v>2196</v>
      </c>
      <c r="F23" s="2521">
        <f t="shared" si="1"/>
        <v>2096</v>
      </c>
      <c r="G23" s="2521">
        <f t="shared" si="1"/>
        <v>2033</v>
      </c>
      <c r="H23" s="2521">
        <f t="shared" si="1"/>
        <v>2085</v>
      </c>
      <c r="I23" s="2521">
        <f t="shared" si="1"/>
        <v>2307</v>
      </c>
      <c r="J23" s="2522">
        <f t="shared" si="1"/>
        <v>2229</v>
      </c>
      <c r="K23" s="2523">
        <f t="shared" si="1"/>
        <v>1245</v>
      </c>
      <c r="L23" s="2524">
        <f t="shared" si="1"/>
        <v>1267</v>
      </c>
      <c r="M23" s="2524">
        <f t="shared" si="1"/>
        <v>1253</v>
      </c>
      <c r="N23" s="2524">
        <f t="shared" si="1"/>
        <v>1217</v>
      </c>
      <c r="O23" s="2524">
        <f t="shared" si="1"/>
        <v>1236</v>
      </c>
      <c r="P23" s="2524">
        <f t="shared" si="1"/>
        <v>1352</v>
      </c>
      <c r="Q23" s="2525">
        <f t="shared" si="1"/>
        <v>1300</v>
      </c>
      <c r="R23" s="174"/>
    </row>
    <row r="24" spans="1:18" ht="24" customHeight="1" thickBot="1">
      <c r="A24" s="2554"/>
      <c r="B24" s="2555" t="s">
        <v>914</v>
      </c>
      <c r="C24" s="2556"/>
      <c r="D24" s="2526"/>
      <c r="E24" s="2527"/>
      <c r="F24" s="2527"/>
      <c r="G24" s="2527"/>
      <c r="H24" s="2527"/>
      <c r="I24" s="2527"/>
      <c r="J24" s="2528"/>
      <c r="K24" s="2529">
        <f>K23-'12. Разходи'!C86</f>
        <v>0</v>
      </c>
      <c r="L24" s="2529">
        <f>L23-'12. Разходи'!D86</f>
        <v>0</v>
      </c>
      <c r="M24" s="3205">
        <f>M23-'12. Разходи'!E86</f>
        <v>0</v>
      </c>
      <c r="N24" s="3205">
        <f>N23-'12. Разходи'!F86</f>
        <v>0</v>
      </c>
      <c r="O24" s="3205">
        <f>O23-'12. Разходи'!G86</f>
        <v>0</v>
      </c>
      <c r="P24" s="3205">
        <f>P23-'12. Разходи'!H86</f>
        <v>0</v>
      </c>
      <c r="Q24" s="3206">
        <f>Q23-'12. Разходи'!I86</f>
        <v>0</v>
      </c>
      <c r="R24" s="174"/>
    </row>
    <row r="25" spans="1:18" ht="25.5" customHeight="1" thickBot="1">
      <c r="A25" s="2557">
        <v>2</v>
      </c>
      <c r="B25" s="2558" t="s">
        <v>1197</v>
      </c>
      <c r="C25" s="2559"/>
      <c r="D25" s="785"/>
      <c r="E25" s="785"/>
      <c r="F25" s="785"/>
      <c r="G25" s="785"/>
      <c r="H25" s="785"/>
      <c r="I25" s="785"/>
      <c r="J25" s="785"/>
      <c r="K25" s="785"/>
      <c r="L25" s="785"/>
      <c r="M25" s="785"/>
      <c r="N25" s="785"/>
      <c r="O25" s="785"/>
      <c r="P25" s="785"/>
      <c r="Q25" s="786"/>
      <c r="R25" s="481"/>
    </row>
    <row r="26" spans="1:18">
      <c r="A26" s="2560" t="s">
        <v>661</v>
      </c>
      <c r="B26" s="2561" t="s">
        <v>662</v>
      </c>
      <c r="C26" s="2808" t="s">
        <v>908</v>
      </c>
      <c r="D26" s="804">
        <v>73</v>
      </c>
      <c r="E26" s="801">
        <v>82</v>
      </c>
      <c r="F26" s="801">
        <v>72</v>
      </c>
      <c r="G26" s="801">
        <v>72</v>
      </c>
      <c r="H26" s="801">
        <v>72</v>
      </c>
      <c r="I26" s="801">
        <v>71</v>
      </c>
      <c r="J26" s="802">
        <v>67</v>
      </c>
      <c r="K26" s="803">
        <v>89</v>
      </c>
      <c r="L26" s="801">
        <v>104</v>
      </c>
      <c r="M26" s="801">
        <v>88</v>
      </c>
      <c r="N26" s="801">
        <v>89</v>
      </c>
      <c r="O26" s="801">
        <v>89</v>
      </c>
      <c r="P26" s="801">
        <v>87</v>
      </c>
      <c r="Q26" s="802">
        <v>83</v>
      </c>
      <c r="R26" s="174"/>
    </row>
    <row r="27" spans="1:18">
      <c r="A27" s="2547" t="s">
        <v>663</v>
      </c>
      <c r="B27" s="2548" t="s">
        <v>664</v>
      </c>
      <c r="C27" s="2809" t="s">
        <v>908</v>
      </c>
      <c r="D27" s="780">
        <v>29</v>
      </c>
      <c r="E27" s="781">
        <v>28</v>
      </c>
      <c r="F27" s="781">
        <v>27</v>
      </c>
      <c r="G27" s="781">
        <v>27</v>
      </c>
      <c r="H27" s="781">
        <v>30</v>
      </c>
      <c r="I27" s="781">
        <v>32</v>
      </c>
      <c r="J27" s="790">
        <v>30</v>
      </c>
      <c r="K27" s="794">
        <v>15</v>
      </c>
      <c r="L27" s="781">
        <v>15</v>
      </c>
      <c r="M27" s="781">
        <v>14</v>
      </c>
      <c r="N27" s="781">
        <v>14</v>
      </c>
      <c r="O27" s="781">
        <v>16</v>
      </c>
      <c r="P27" s="781">
        <v>17</v>
      </c>
      <c r="Q27" s="790">
        <v>16</v>
      </c>
      <c r="R27" s="174"/>
    </row>
    <row r="28" spans="1:18">
      <c r="A28" s="2547" t="s">
        <v>665</v>
      </c>
      <c r="B28" s="2548" t="s">
        <v>666</v>
      </c>
      <c r="C28" s="2809" t="s">
        <v>908</v>
      </c>
      <c r="D28" s="780"/>
      <c r="E28" s="781"/>
      <c r="F28" s="781"/>
      <c r="G28" s="781"/>
      <c r="H28" s="3203"/>
      <c r="I28" s="781"/>
      <c r="J28" s="790"/>
      <c r="K28" s="794"/>
      <c r="L28" s="781"/>
      <c r="M28" s="781"/>
      <c r="N28" s="781"/>
      <c r="O28" s="3203"/>
      <c r="P28" s="781"/>
      <c r="Q28" s="790"/>
      <c r="R28" s="174"/>
    </row>
    <row r="29" spans="1:18" ht="24">
      <c r="A29" s="2547" t="s">
        <v>667</v>
      </c>
      <c r="B29" s="2548" t="s">
        <v>668</v>
      </c>
      <c r="C29" s="2809" t="s">
        <v>908</v>
      </c>
      <c r="D29" s="780"/>
      <c r="E29" s="781"/>
      <c r="F29" s="781"/>
      <c r="G29" s="781"/>
      <c r="H29" s="781">
        <v>10</v>
      </c>
      <c r="I29" s="781">
        <v>10</v>
      </c>
      <c r="J29" s="790">
        <v>10</v>
      </c>
      <c r="K29" s="794"/>
      <c r="L29" s="781"/>
      <c r="M29" s="781"/>
      <c r="N29" s="781"/>
      <c r="O29" s="781">
        <v>3</v>
      </c>
      <c r="P29" s="781">
        <v>3</v>
      </c>
      <c r="Q29" s="790">
        <v>3</v>
      </c>
      <c r="R29" s="174"/>
    </row>
    <row r="30" spans="1:18">
      <c r="A30" s="2547" t="s">
        <v>669</v>
      </c>
      <c r="B30" s="2548" t="s">
        <v>670</v>
      </c>
      <c r="C30" s="2809" t="s">
        <v>908</v>
      </c>
      <c r="D30" s="780"/>
      <c r="E30" s="781"/>
      <c r="F30" s="781"/>
      <c r="G30" s="781"/>
      <c r="H30" s="3203"/>
      <c r="I30" s="781"/>
      <c r="J30" s="790"/>
      <c r="K30" s="794"/>
      <c r="L30" s="781"/>
      <c r="M30" s="781"/>
      <c r="N30" s="781"/>
      <c r="O30" s="3203"/>
      <c r="P30" s="781"/>
      <c r="Q30" s="790"/>
      <c r="R30" s="174"/>
    </row>
    <row r="31" spans="1:18" ht="24">
      <c r="A31" s="2547" t="s">
        <v>671</v>
      </c>
      <c r="B31" s="2550" t="s">
        <v>672</v>
      </c>
      <c r="C31" s="2809" t="s">
        <v>908</v>
      </c>
      <c r="D31" s="780"/>
      <c r="E31" s="781"/>
      <c r="F31" s="781"/>
      <c r="G31" s="781"/>
      <c r="H31" s="3203"/>
      <c r="I31" s="781">
        <v>1</v>
      </c>
      <c r="J31" s="790">
        <v>2</v>
      </c>
      <c r="K31" s="794"/>
      <c r="L31" s="781"/>
      <c r="M31" s="781"/>
      <c r="N31" s="781"/>
      <c r="O31" s="3203"/>
      <c r="P31" s="781">
        <v>2</v>
      </c>
      <c r="Q31" s="790">
        <v>3</v>
      </c>
      <c r="R31" s="174"/>
    </row>
    <row r="32" spans="1:18">
      <c r="A32" s="2547" t="s">
        <v>916</v>
      </c>
      <c r="B32" s="2549" t="s">
        <v>1198</v>
      </c>
      <c r="C32" s="2809" t="s">
        <v>908</v>
      </c>
      <c r="D32" s="780"/>
      <c r="E32" s="781"/>
      <c r="F32" s="781">
        <v>150</v>
      </c>
      <c r="G32" s="781">
        <v>150</v>
      </c>
      <c r="H32" s="781">
        <v>160</v>
      </c>
      <c r="I32" s="781">
        <v>250</v>
      </c>
      <c r="J32" s="790">
        <v>250</v>
      </c>
      <c r="K32" s="794"/>
      <c r="L32" s="781"/>
      <c r="M32" s="781">
        <v>30</v>
      </c>
      <c r="N32" s="781">
        <v>30</v>
      </c>
      <c r="O32" s="781">
        <v>32</v>
      </c>
      <c r="P32" s="781">
        <v>50</v>
      </c>
      <c r="Q32" s="790">
        <v>50</v>
      </c>
      <c r="R32" s="174"/>
    </row>
    <row r="33" spans="1:18" ht="24">
      <c r="A33" s="2547" t="s">
        <v>993</v>
      </c>
      <c r="B33" s="2548" t="s">
        <v>1200</v>
      </c>
      <c r="C33" s="2809" t="s">
        <v>908</v>
      </c>
      <c r="D33" s="780">
        <v>8</v>
      </c>
      <c r="E33" s="781">
        <v>5</v>
      </c>
      <c r="F33" s="781">
        <v>5</v>
      </c>
      <c r="G33" s="781">
        <v>5</v>
      </c>
      <c r="H33" s="781">
        <v>5</v>
      </c>
      <c r="I33" s="781">
        <v>5</v>
      </c>
      <c r="J33" s="790">
        <v>5</v>
      </c>
      <c r="K33" s="794">
        <v>8</v>
      </c>
      <c r="L33" s="781">
        <v>5</v>
      </c>
      <c r="M33" s="781">
        <v>5</v>
      </c>
      <c r="N33" s="781">
        <v>5</v>
      </c>
      <c r="O33" s="781">
        <v>5</v>
      </c>
      <c r="P33" s="781">
        <v>5</v>
      </c>
      <c r="Q33" s="790">
        <v>5</v>
      </c>
      <c r="R33" s="174"/>
    </row>
    <row r="34" spans="1:18">
      <c r="A34" s="2547" t="s">
        <v>998</v>
      </c>
      <c r="B34" s="2550" t="s">
        <v>976</v>
      </c>
      <c r="C34" s="2809" t="s">
        <v>908</v>
      </c>
      <c r="D34" s="780" t="s">
        <v>263</v>
      </c>
      <c r="E34" s="781" t="s">
        <v>263</v>
      </c>
      <c r="F34" s="781" t="s">
        <v>263</v>
      </c>
      <c r="G34" s="781" t="s">
        <v>263</v>
      </c>
      <c r="H34" s="781" t="s">
        <v>263</v>
      </c>
      <c r="I34" s="781" t="s">
        <v>263</v>
      </c>
      <c r="J34" s="790"/>
      <c r="K34" s="794"/>
      <c r="L34" s="781"/>
      <c r="M34" s="781"/>
      <c r="N34" s="781"/>
      <c r="O34" s="3203"/>
      <c r="P34" s="781"/>
      <c r="Q34" s="799"/>
      <c r="R34" s="174"/>
    </row>
    <row r="35" spans="1:18" ht="24.75" thickBot="1">
      <c r="A35" s="2562" t="s">
        <v>1201</v>
      </c>
      <c r="B35" s="2563" t="s">
        <v>979</v>
      </c>
      <c r="C35" s="2810" t="s">
        <v>380</v>
      </c>
      <c r="D35" s="784"/>
      <c r="E35" s="791"/>
      <c r="F35" s="791"/>
      <c r="G35" s="791"/>
      <c r="H35" s="791"/>
      <c r="I35" s="791"/>
      <c r="J35" s="1824"/>
      <c r="K35" s="1825"/>
      <c r="L35" s="791"/>
      <c r="M35" s="791"/>
      <c r="N35" s="791"/>
      <c r="O35" s="791"/>
      <c r="P35" s="791"/>
      <c r="Q35" s="800"/>
      <c r="R35" s="174"/>
    </row>
    <row r="36" spans="1:18" ht="25.5" customHeight="1" thickBot="1">
      <c r="A36" s="2551"/>
      <c r="B36" s="2552" t="s">
        <v>1202</v>
      </c>
      <c r="C36" s="2553"/>
      <c r="D36" s="2520">
        <f>SUM(D26:D35)</f>
        <v>110</v>
      </c>
      <c r="E36" s="2521">
        <f t="shared" ref="E36:Q36" si="2">SUM(E26:E35)</f>
        <v>115</v>
      </c>
      <c r="F36" s="2521">
        <f t="shared" si="2"/>
        <v>254</v>
      </c>
      <c r="G36" s="2521">
        <f t="shared" si="2"/>
        <v>254</v>
      </c>
      <c r="H36" s="2521">
        <f t="shared" si="2"/>
        <v>277</v>
      </c>
      <c r="I36" s="2521">
        <f>SUM(I26:I35)</f>
        <v>369</v>
      </c>
      <c r="J36" s="2522">
        <f>SUM(J26:J35)</f>
        <v>364</v>
      </c>
      <c r="K36" s="2530">
        <f t="shared" si="2"/>
        <v>112</v>
      </c>
      <c r="L36" s="2521">
        <f t="shared" si="2"/>
        <v>124</v>
      </c>
      <c r="M36" s="2521">
        <f t="shared" si="2"/>
        <v>137</v>
      </c>
      <c r="N36" s="2521">
        <f t="shared" si="2"/>
        <v>138</v>
      </c>
      <c r="O36" s="2521">
        <f t="shared" si="2"/>
        <v>145</v>
      </c>
      <c r="P36" s="2521">
        <f t="shared" si="2"/>
        <v>164</v>
      </c>
      <c r="Q36" s="2522">
        <f t="shared" si="2"/>
        <v>160</v>
      </c>
      <c r="R36" s="174"/>
    </row>
    <row r="37" spans="1:18" s="793" customFormat="1" ht="22.5" customHeight="1" thickBot="1">
      <c r="A37" s="2554"/>
      <c r="B37" s="2555" t="s">
        <v>914</v>
      </c>
      <c r="C37" s="2556"/>
      <c r="D37" s="2526"/>
      <c r="E37" s="2527"/>
      <c r="F37" s="2527"/>
      <c r="G37" s="2527"/>
      <c r="H37" s="2527"/>
      <c r="I37" s="2527"/>
      <c r="J37" s="2528"/>
      <c r="K37" s="3191">
        <f>K36-'12. Разходи'!J86</f>
        <v>0</v>
      </c>
      <c r="L37" s="3192">
        <f>L36-'12. Разходи'!K86</f>
        <v>0</v>
      </c>
      <c r="M37" s="3192">
        <f>M36-'12. Разходи'!L86</f>
        <v>0</v>
      </c>
      <c r="N37" s="3192">
        <f>N36-'12. Разходи'!M86</f>
        <v>0</v>
      </c>
      <c r="O37" s="3192">
        <f>O36-'12. Разходи'!N86</f>
        <v>0</v>
      </c>
      <c r="P37" s="3192">
        <f>P36-'12. Разходи'!O86</f>
        <v>0</v>
      </c>
      <c r="Q37" s="3193">
        <f>Q36-'12. Разходи'!P86</f>
        <v>0</v>
      </c>
      <c r="R37" s="792"/>
    </row>
    <row r="38" spans="1:18" ht="21" customHeight="1" thickBot="1">
      <c r="A38" s="2557">
        <v>3</v>
      </c>
      <c r="B38" s="2558" t="s">
        <v>1205</v>
      </c>
      <c r="C38" s="2559"/>
      <c r="D38" s="785"/>
      <c r="E38" s="785"/>
      <c r="F38" s="785"/>
      <c r="G38" s="785"/>
      <c r="H38" s="785"/>
      <c r="I38" s="785"/>
      <c r="J38" s="785"/>
      <c r="K38" s="785"/>
      <c r="L38" s="785"/>
      <c r="M38" s="785"/>
      <c r="N38" s="785"/>
      <c r="O38" s="785"/>
      <c r="P38" s="785"/>
      <c r="Q38" s="786"/>
      <c r="R38" s="481"/>
    </row>
    <row r="39" spans="1:18">
      <c r="A39" s="2560" t="s">
        <v>327</v>
      </c>
      <c r="B39" s="2561" t="s">
        <v>673</v>
      </c>
      <c r="C39" s="2808" t="s">
        <v>908</v>
      </c>
      <c r="D39" s="804">
        <v>4</v>
      </c>
      <c r="E39" s="801">
        <v>4</v>
      </c>
      <c r="F39" s="801">
        <v>7</v>
      </c>
      <c r="G39" s="801">
        <v>6</v>
      </c>
      <c r="H39" s="801">
        <v>7</v>
      </c>
      <c r="I39" s="801">
        <v>7</v>
      </c>
      <c r="J39" s="802">
        <v>7</v>
      </c>
      <c r="K39" s="803">
        <v>5</v>
      </c>
      <c r="L39" s="801">
        <v>5</v>
      </c>
      <c r="M39" s="801">
        <v>7</v>
      </c>
      <c r="N39" s="801">
        <v>6</v>
      </c>
      <c r="O39" s="801">
        <v>7</v>
      </c>
      <c r="P39" s="801">
        <v>7</v>
      </c>
      <c r="Q39" s="802">
        <v>7</v>
      </c>
      <c r="R39" s="592"/>
    </row>
    <row r="40" spans="1:18">
      <c r="A40" s="2547" t="s">
        <v>328</v>
      </c>
      <c r="B40" s="2548" t="s">
        <v>674</v>
      </c>
      <c r="C40" s="2809" t="s">
        <v>908</v>
      </c>
      <c r="D40" s="780">
        <v>5</v>
      </c>
      <c r="E40" s="781">
        <v>6</v>
      </c>
      <c r="F40" s="781">
        <v>5</v>
      </c>
      <c r="G40" s="781">
        <v>5</v>
      </c>
      <c r="H40" s="781">
        <v>3</v>
      </c>
      <c r="I40" s="781">
        <v>3</v>
      </c>
      <c r="J40" s="790">
        <v>4</v>
      </c>
      <c r="K40" s="794">
        <v>15</v>
      </c>
      <c r="L40" s="781">
        <v>18</v>
      </c>
      <c r="M40" s="781">
        <v>14</v>
      </c>
      <c r="N40" s="781">
        <v>14</v>
      </c>
      <c r="O40" s="781">
        <v>9</v>
      </c>
      <c r="P40" s="781">
        <v>9</v>
      </c>
      <c r="Q40" s="790">
        <v>12</v>
      </c>
      <c r="R40" s="592"/>
    </row>
    <row r="41" spans="1:18" ht="24">
      <c r="A41" s="2547" t="s">
        <v>675</v>
      </c>
      <c r="B41" s="2548" t="s">
        <v>676</v>
      </c>
      <c r="C41" s="2809" t="s">
        <v>908</v>
      </c>
      <c r="D41" s="780">
        <v>3</v>
      </c>
      <c r="E41" s="781">
        <v>2</v>
      </c>
      <c r="F41" s="781">
        <v>3</v>
      </c>
      <c r="G41" s="781">
        <v>3</v>
      </c>
      <c r="H41" s="781">
        <v>3</v>
      </c>
      <c r="I41" s="781">
        <v>3</v>
      </c>
      <c r="J41" s="790">
        <v>3</v>
      </c>
      <c r="K41" s="794">
        <v>3</v>
      </c>
      <c r="L41" s="781">
        <v>2</v>
      </c>
      <c r="M41" s="781">
        <v>3</v>
      </c>
      <c r="N41" s="781">
        <v>3</v>
      </c>
      <c r="O41" s="781">
        <v>3</v>
      </c>
      <c r="P41" s="781">
        <v>3</v>
      </c>
      <c r="Q41" s="790">
        <v>3</v>
      </c>
      <c r="R41" s="592"/>
    </row>
    <row r="42" spans="1:18">
      <c r="A42" s="2547" t="s">
        <v>677</v>
      </c>
      <c r="B42" s="2548" t="s">
        <v>678</v>
      </c>
      <c r="C42" s="2809" t="s">
        <v>908</v>
      </c>
      <c r="D42" s="780">
        <v>1</v>
      </c>
      <c r="E42" s="781">
        <v>1</v>
      </c>
      <c r="F42" s="781">
        <v>1</v>
      </c>
      <c r="G42" s="781">
        <v>1</v>
      </c>
      <c r="H42" s="781">
        <v>1</v>
      </c>
      <c r="I42" s="781">
        <v>1</v>
      </c>
      <c r="J42" s="790">
        <v>1</v>
      </c>
      <c r="K42" s="794">
        <v>5</v>
      </c>
      <c r="L42" s="781">
        <v>5</v>
      </c>
      <c r="M42" s="781">
        <v>5</v>
      </c>
      <c r="N42" s="781">
        <v>5</v>
      </c>
      <c r="O42" s="781">
        <v>5</v>
      </c>
      <c r="P42" s="781">
        <v>5</v>
      </c>
      <c r="Q42" s="790">
        <v>5</v>
      </c>
      <c r="R42" s="592"/>
    </row>
    <row r="43" spans="1:18" ht="24">
      <c r="A43" s="2547" t="s">
        <v>679</v>
      </c>
      <c r="B43" s="2548" t="s">
        <v>680</v>
      </c>
      <c r="C43" s="2809" t="s">
        <v>908</v>
      </c>
      <c r="D43" s="780">
        <v>4</v>
      </c>
      <c r="E43" s="781">
        <v>2</v>
      </c>
      <c r="F43" s="781">
        <v>2</v>
      </c>
      <c r="G43" s="781">
        <v>2</v>
      </c>
      <c r="H43" s="781">
        <v>2</v>
      </c>
      <c r="I43" s="781">
        <v>2</v>
      </c>
      <c r="J43" s="790">
        <v>2</v>
      </c>
      <c r="K43" s="794">
        <v>20</v>
      </c>
      <c r="L43" s="781">
        <v>10</v>
      </c>
      <c r="M43" s="781">
        <v>10</v>
      </c>
      <c r="N43" s="781">
        <v>10</v>
      </c>
      <c r="O43" s="781">
        <v>10</v>
      </c>
      <c r="P43" s="781">
        <v>10</v>
      </c>
      <c r="Q43" s="790">
        <v>10</v>
      </c>
      <c r="R43" s="592"/>
    </row>
    <row r="44" spans="1:18">
      <c r="A44" s="2547" t="s">
        <v>917</v>
      </c>
      <c r="B44" s="2549" t="s">
        <v>1198</v>
      </c>
      <c r="C44" s="2809" t="s">
        <v>908</v>
      </c>
      <c r="D44" s="780">
        <v>15</v>
      </c>
      <c r="E44" s="781">
        <v>17</v>
      </c>
      <c r="F44" s="781">
        <v>18</v>
      </c>
      <c r="G44" s="781">
        <v>18</v>
      </c>
      <c r="H44" s="781">
        <v>17</v>
      </c>
      <c r="I44" s="781">
        <v>17</v>
      </c>
      <c r="J44" s="790">
        <v>17</v>
      </c>
      <c r="K44" s="794">
        <v>40</v>
      </c>
      <c r="L44" s="781">
        <v>45</v>
      </c>
      <c r="M44" s="781">
        <v>49</v>
      </c>
      <c r="N44" s="781">
        <v>49</v>
      </c>
      <c r="O44" s="781">
        <v>44</v>
      </c>
      <c r="P44" s="781">
        <v>44</v>
      </c>
      <c r="Q44" s="790">
        <v>44</v>
      </c>
      <c r="R44" s="592"/>
    </row>
    <row r="45" spans="1:18" ht="24">
      <c r="A45" s="2547" t="s">
        <v>994</v>
      </c>
      <c r="B45" s="2548" t="s">
        <v>1203</v>
      </c>
      <c r="C45" s="2809" t="s">
        <v>908</v>
      </c>
      <c r="D45" s="780"/>
      <c r="E45" s="781"/>
      <c r="F45" s="781"/>
      <c r="G45" s="781"/>
      <c r="H45" s="781"/>
      <c r="I45" s="781"/>
      <c r="J45" s="790"/>
      <c r="K45" s="794"/>
      <c r="L45" s="781"/>
      <c r="M45" s="781"/>
      <c r="N45" s="781"/>
      <c r="O45" s="781"/>
      <c r="P45" s="781"/>
      <c r="Q45" s="790"/>
      <c r="R45" s="592"/>
    </row>
    <row r="46" spans="1:18">
      <c r="A46" s="2547" t="s">
        <v>999</v>
      </c>
      <c r="B46" s="2550" t="s">
        <v>977</v>
      </c>
      <c r="C46" s="2809" t="s">
        <v>908</v>
      </c>
      <c r="D46" s="780"/>
      <c r="E46" s="781"/>
      <c r="F46" s="781"/>
      <c r="G46" s="781"/>
      <c r="H46" s="781"/>
      <c r="I46" s="781"/>
      <c r="J46" s="790"/>
      <c r="K46" s="794"/>
      <c r="L46" s="781"/>
      <c r="M46" s="781"/>
      <c r="N46" s="781"/>
      <c r="O46" s="781"/>
      <c r="P46" s="781"/>
      <c r="Q46" s="790"/>
      <c r="R46" s="592"/>
    </row>
    <row r="47" spans="1:18" ht="24.75" thickBot="1">
      <c r="A47" s="2547" t="s">
        <v>1204</v>
      </c>
      <c r="B47" s="2548" t="s">
        <v>980</v>
      </c>
      <c r="C47" s="2809" t="s">
        <v>380</v>
      </c>
      <c r="D47" s="780"/>
      <c r="E47" s="781"/>
      <c r="F47" s="781"/>
      <c r="G47" s="781"/>
      <c r="H47" s="781"/>
      <c r="I47" s="781"/>
      <c r="J47" s="790"/>
      <c r="K47" s="794"/>
      <c r="L47" s="781"/>
      <c r="M47" s="781"/>
      <c r="N47" s="781"/>
      <c r="O47" s="781"/>
      <c r="P47" s="781"/>
      <c r="Q47" s="790"/>
      <c r="R47" s="592"/>
    </row>
    <row r="48" spans="1:18" s="787" customFormat="1" ht="21.75" customHeight="1" thickBot="1">
      <c r="A48" s="2551"/>
      <c r="B48" s="2552" t="s">
        <v>1206</v>
      </c>
      <c r="C48" s="2553"/>
      <c r="D48" s="2520">
        <f>SUM(D39:D47)</f>
        <v>32</v>
      </c>
      <c r="E48" s="2521">
        <f t="shared" ref="E48:Q48" si="3">SUM(E39:E47)</f>
        <v>32</v>
      </c>
      <c r="F48" s="2521">
        <f t="shared" si="3"/>
        <v>36</v>
      </c>
      <c r="G48" s="2521">
        <f t="shared" si="3"/>
        <v>35</v>
      </c>
      <c r="H48" s="2521">
        <f t="shared" si="3"/>
        <v>33</v>
      </c>
      <c r="I48" s="2521">
        <f t="shared" si="3"/>
        <v>33</v>
      </c>
      <c r="J48" s="2522">
        <f t="shared" si="3"/>
        <v>34</v>
      </c>
      <c r="K48" s="2531">
        <f t="shared" si="3"/>
        <v>88</v>
      </c>
      <c r="L48" s="2532">
        <f t="shared" si="3"/>
        <v>85</v>
      </c>
      <c r="M48" s="2532">
        <f t="shared" si="3"/>
        <v>88</v>
      </c>
      <c r="N48" s="2532">
        <f t="shared" si="3"/>
        <v>87</v>
      </c>
      <c r="O48" s="2532">
        <f t="shared" si="3"/>
        <v>78</v>
      </c>
      <c r="P48" s="2532">
        <f t="shared" si="3"/>
        <v>78</v>
      </c>
      <c r="Q48" s="2533">
        <f t="shared" si="3"/>
        <v>81</v>
      </c>
      <c r="R48" s="614"/>
    </row>
    <row r="49" spans="1:23" ht="13.5" thickBot="1">
      <c r="A49" s="2564"/>
      <c r="B49" s="2555" t="s">
        <v>914</v>
      </c>
      <c r="C49" s="2556"/>
      <c r="D49" s="2526"/>
      <c r="E49" s="2527"/>
      <c r="F49" s="2527"/>
      <c r="G49" s="2527"/>
      <c r="H49" s="2527"/>
      <c r="I49" s="2527"/>
      <c r="J49" s="2528"/>
      <c r="K49" s="3194">
        <f>K48-'12. Разходи'!Q86</f>
        <v>0</v>
      </c>
      <c r="L49" s="3195">
        <f>L48-'12. Разходи'!R86</f>
        <v>0</v>
      </c>
      <c r="M49" s="3195">
        <f>M48-'12. Разходи'!S86</f>
        <v>0</v>
      </c>
      <c r="N49" s="3195">
        <f>N48-'12. Разходи'!T86</f>
        <v>0</v>
      </c>
      <c r="O49" s="3195">
        <f>O48-'12. Разходи'!U86</f>
        <v>0</v>
      </c>
      <c r="P49" s="3195">
        <f>P48-'12. Разходи'!V86</f>
        <v>0</v>
      </c>
      <c r="Q49" s="3196">
        <f>Q48-'12. Разходи'!W86</f>
        <v>0</v>
      </c>
      <c r="R49" s="174"/>
    </row>
    <row r="50" spans="1:23">
      <c r="A50" s="172"/>
      <c r="B50" s="773"/>
      <c r="C50" s="173"/>
      <c r="D50" s="173"/>
      <c r="E50" s="173"/>
      <c r="F50" s="173"/>
      <c r="G50" s="173"/>
      <c r="H50" s="173"/>
      <c r="I50" s="173"/>
      <c r="J50" s="173"/>
      <c r="K50" s="174"/>
      <c r="L50" s="174"/>
      <c r="M50" s="174"/>
      <c r="N50" s="174"/>
      <c r="O50" s="174"/>
      <c r="P50" s="174"/>
      <c r="Q50" s="174"/>
      <c r="R50" s="174"/>
    </row>
    <row r="51" spans="1:23" s="788" customFormat="1">
      <c r="A51" s="162" t="str">
        <f>'7. Утайки от ПСОВ'!B37</f>
        <v>Дата: 27.08.2018 г.</v>
      </c>
      <c r="B51" s="774"/>
      <c r="C51" s="161"/>
      <c r="D51" s="161"/>
      <c r="E51" s="161"/>
      <c r="F51" s="161"/>
      <c r="G51" s="161"/>
      <c r="H51" s="161"/>
      <c r="I51" s="161"/>
      <c r="J51" s="161"/>
      <c r="K51" s="161"/>
      <c r="L51" s="593"/>
      <c r="M51" s="593"/>
      <c r="N51" s="593"/>
      <c r="O51" s="593"/>
      <c r="P51" s="593"/>
      <c r="Q51" s="593"/>
      <c r="R51" s="593"/>
      <c r="S51" s="161"/>
    </row>
    <row r="52" spans="1:23" s="788" customFormat="1">
      <c r="A52" s="163"/>
      <c r="B52" s="775" t="str">
        <f>'7. Утайки от ПСОВ'!D38</f>
        <v>Главен счетоводител:</v>
      </c>
      <c r="C52" s="163" t="s">
        <v>4</v>
      </c>
      <c r="D52" s="163"/>
      <c r="E52" s="163"/>
      <c r="F52" s="163"/>
      <c r="G52" s="163"/>
      <c r="H52" s="163"/>
      <c r="I52" s="163"/>
      <c r="J52" s="163"/>
      <c r="K52" s="161"/>
      <c r="L52" s="593"/>
      <c r="M52" s="593"/>
      <c r="N52" s="593"/>
      <c r="O52" s="593"/>
      <c r="P52" s="593"/>
      <c r="Q52" s="593"/>
      <c r="R52" s="593"/>
    </row>
    <row r="53" spans="1:23" s="788" customFormat="1">
      <c r="A53" s="161"/>
      <c r="B53" s="776"/>
      <c r="C53" s="167" t="s">
        <v>5</v>
      </c>
      <c r="D53" s="167"/>
      <c r="E53" s="167"/>
      <c r="F53" s="167"/>
      <c r="G53" s="167"/>
      <c r="H53" s="167"/>
      <c r="I53" s="167"/>
      <c r="J53" s="167"/>
      <c r="L53" s="198"/>
      <c r="M53" s="198"/>
      <c r="N53" s="198"/>
      <c r="O53" s="198"/>
      <c r="P53" s="198"/>
      <c r="Q53" s="198"/>
      <c r="R53" s="198"/>
    </row>
    <row r="54" spans="1:23" s="788" customFormat="1">
      <c r="A54" s="161"/>
      <c r="B54" s="776"/>
      <c r="C54" s="166"/>
      <c r="D54" s="166"/>
      <c r="E54" s="166"/>
      <c r="F54" s="166"/>
      <c r="G54" s="166"/>
      <c r="H54" s="166"/>
      <c r="I54" s="166"/>
      <c r="J54" s="166"/>
      <c r="K54" s="167"/>
      <c r="L54" s="594"/>
      <c r="M54" s="594"/>
      <c r="N54" s="594"/>
      <c r="O54" s="594"/>
      <c r="P54" s="594"/>
      <c r="Q54" s="594"/>
      <c r="R54" s="594"/>
    </row>
    <row r="55" spans="1:23" s="788" customFormat="1">
      <c r="A55" s="161"/>
      <c r="B55" s="776"/>
      <c r="C55" s="166"/>
      <c r="D55" s="166"/>
      <c r="E55" s="166"/>
      <c r="F55" s="166"/>
      <c r="G55" s="166"/>
      <c r="H55" s="166"/>
      <c r="I55" s="166"/>
      <c r="J55" s="166"/>
      <c r="K55" s="167"/>
      <c r="L55" s="594"/>
      <c r="M55" s="594"/>
      <c r="N55" s="594"/>
      <c r="O55" s="594"/>
      <c r="P55" s="594"/>
      <c r="Q55" s="594"/>
      <c r="R55" s="594"/>
    </row>
    <row r="56" spans="1:23" s="788" customFormat="1">
      <c r="A56" s="161"/>
      <c r="B56" s="775" t="str">
        <f>'7. Утайки от ПСОВ'!E42</f>
        <v>Управител:</v>
      </c>
      <c r="C56" s="163" t="s">
        <v>4</v>
      </c>
      <c r="D56" s="163"/>
      <c r="E56" s="163"/>
      <c r="F56" s="163"/>
      <c r="G56" s="163"/>
      <c r="H56" s="163"/>
      <c r="I56" s="163"/>
      <c r="J56" s="163"/>
      <c r="K56" s="161"/>
      <c r="L56" s="593"/>
      <c r="M56" s="593"/>
      <c r="N56" s="593"/>
      <c r="O56" s="593"/>
      <c r="P56" s="593"/>
      <c r="Q56" s="593"/>
      <c r="R56" s="593"/>
    </row>
    <row r="57" spans="1:23" s="788" customFormat="1">
      <c r="A57" s="161"/>
      <c r="B57" s="777"/>
      <c r="C57" s="167" t="s">
        <v>6</v>
      </c>
      <c r="D57" s="167"/>
      <c r="E57" s="167"/>
      <c r="F57" s="167"/>
      <c r="G57" s="167"/>
      <c r="H57" s="167"/>
      <c r="I57" s="167"/>
      <c r="J57" s="167"/>
      <c r="L57" s="198"/>
      <c r="M57" s="198"/>
      <c r="N57" s="198"/>
      <c r="O57" s="198"/>
      <c r="P57" s="198"/>
      <c r="Q57" s="198"/>
      <c r="R57" s="198"/>
    </row>
    <row r="58" spans="1:23" s="788" customFormat="1">
      <c r="A58" s="161"/>
      <c r="B58" s="774"/>
      <c r="C58" s="161"/>
      <c r="D58" s="161"/>
      <c r="E58" s="161"/>
      <c r="F58" s="161"/>
      <c r="G58" s="161"/>
      <c r="H58" s="161"/>
      <c r="I58" s="161"/>
      <c r="J58" s="161"/>
      <c r="K58" s="165"/>
      <c r="L58" s="595"/>
      <c r="M58" s="595"/>
      <c r="N58" s="595"/>
      <c r="O58" s="595"/>
      <c r="P58" s="595"/>
      <c r="Q58" s="595"/>
      <c r="R58" s="595"/>
    </row>
    <row r="59" spans="1:23" s="220" customFormat="1" ht="12">
      <c r="A59" s="3487"/>
      <c r="B59" s="3487"/>
      <c r="C59" s="3487"/>
      <c r="D59" s="659"/>
      <c r="E59" s="659"/>
      <c r="F59" s="659"/>
      <c r="G59" s="659"/>
      <c r="H59" s="659"/>
      <c r="I59" s="659"/>
      <c r="J59" s="659"/>
      <c r="K59" s="230"/>
      <c r="L59" s="230"/>
      <c r="M59" s="230"/>
      <c r="N59" s="230"/>
      <c r="O59" s="230"/>
      <c r="P59" s="230"/>
      <c r="Q59" s="230"/>
      <c r="R59" s="230"/>
      <c r="S59" s="230"/>
    </row>
    <row r="60" spans="1:23" s="235" customFormat="1" ht="12">
      <c r="A60" s="3487" t="s">
        <v>247</v>
      </c>
      <c r="B60" s="3487"/>
      <c r="C60" s="3487"/>
      <c r="D60" s="3487"/>
      <c r="E60" s="660"/>
      <c r="F60" s="660"/>
      <c r="G60" s="660"/>
      <c r="H60" s="660"/>
      <c r="I60" s="660"/>
      <c r="J60" s="660"/>
      <c r="K60" s="230"/>
      <c r="L60" s="230"/>
      <c r="M60" s="230"/>
      <c r="N60" s="230"/>
      <c r="O60" s="230"/>
      <c r="P60" s="230"/>
      <c r="Q60" s="230"/>
      <c r="R60" s="230"/>
      <c r="S60" s="230"/>
      <c r="T60" s="234"/>
      <c r="U60" s="234"/>
      <c r="W60" s="236"/>
    </row>
    <row r="61" spans="1:23">
      <c r="A61" s="3488" t="s">
        <v>248</v>
      </c>
      <c r="B61" s="3488"/>
      <c r="C61" s="3488"/>
      <c r="D61" s="3488"/>
    </row>
    <row r="62" spans="1:23">
      <c r="A62" s="805" t="s">
        <v>1207</v>
      </c>
    </row>
    <row r="63" spans="1:23" ht="30.75" customHeight="1">
      <c r="A63" s="3462" t="s">
        <v>1553</v>
      </c>
      <c r="B63" s="3462"/>
      <c r="C63" s="3462"/>
      <c r="D63" s="3462"/>
      <c r="E63" s="3462"/>
      <c r="F63" s="3462"/>
      <c r="G63" s="3462"/>
      <c r="H63" s="3462"/>
      <c r="I63" s="3462"/>
      <c r="J63" s="3462"/>
      <c r="K63" s="3462"/>
      <c r="L63" s="3462"/>
      <c r="M63" s="3462"/>
      <c r="N63" s="3462"/>
      <c r="O63" s="3462"/>
      <c r="P63" s="3462"/>
      <c r="Q63" s="3462"/>
      <c r="R63" s="2941"/>
      <c r="S63" s="2941"/>
      <c r="T63" s="2941"/>
      <c r="U63" s="2941"/>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70866141732283472" right="0.70866141732283472" top="0.94488188976377963" bottom="0.74803149606299213" header="0.31496062992125984" footer="0.31496062992125984"/>
  <pageSetup paperSize="9" scale="65" orientation="landscape" r:id="rId1"/>
  <headerFooter>
    <oddFooter>&amp;A&amp;RPage &amp;P</oddFooter>
  </headerFooter>
  <rowBreaks count="1" manualBreakCount="1">
    <brk id="37" max="16" man="1"/>
  </rowBreaks>
  <colBreaks count="1" manualBreakCount="1">
    <brk id="1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25</vt:i4>
      </vt:variant>
      <vt:variant>
        <vt:lpstr>Наименувани диапазони</vt:lpstr>
      </vt:variant>
      <vt:variant>
        <vt:i4>31</vt:i4>
      </vt:variant>
    </vt:vector>
  </HeadingPairs>
  <TitlesOfParts>
    <vt:vector size="56"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'1. Анкетна карта'!Област_печат</vt:lpstr>
      <vt:lpstr>'10. Финансиране на ИП'!Област_печат</vt:lpstr>
      <vt:lpstr>'11. Амортиз. план'!Област_печат</vt:lpstr>
      <vt:lpstr>'11.1.Амортиз.нови активи'!Област_печат</vt:lpstr>
      <vt:lpstr>'11.2. Нови активи отч.год.'!Област_печат</vt:lpstr>
      <vt:lpstr>'12. Разходи'!Област_печат</vt:lpstr>
      <vt:lpstr>'12.1.Разходи-увелич.и нам.'!Област_печат</vt:lpstr>
      <vt:lpstr>'13. Соц. поносимост'!Област_печат</vt:lpstr>
      <vt:lpstr>'14. ОПР'!Област_печат</vt:lpstr>
      <vt:lpstr>'15. ОПП'!Област_печат</vt:lpstr>
      <vt:lpstr>'16. Необходими приходи'!Област_печат</vt:lpstr>
      <vt:lpstr>'17. РБА'!Област_печат</vt:lpstr>
      <vt:lpstr>'18. OK'!Област_печат</vt:lpstr>
      <vt:lpstr>'19. HB'!Област_печат</vt:lpstr>
      <vt:lpstr>'2. Променливи'!Област_печат</vt:lpstr>
      <vt:lpstr>'3. Показатели за качество'!Област_печат</vt:lpstr>
      <vt:lpstr>'4. Отчет и прогн. потребление'!Област_печат</vt:lpstr>
      <vt:lpstr>'5. Персонал'!Област_печат</vt:lpstr>
      <vt:lpstr>'6. Ел.Енергия'!Област_печат</vt:lpstr>
      <vt:lpstr>'7. Утайки от ПСОВ'!Област_печат</vt:lpstr>
      <vt:lpstr>'8. Ремонтна програма'!Област_печат</vt:lpstr>
      <vt:lpstr>'9.Инвестиционна програма'!Област_печат</vt:lpstr>
      <vt:lpstr>'11. Амортиз. план'!Печат_заглавия</vt:lpstr>
      <vt:lpstr>'11.1.Амортиз.нови активи'!Печат_заглавия</vt:lpstr>
      <vt:lpstr>'11.2. Нови активи отч.год.'!Печат_заглавия</vt:lpstr>
      <vt:lpstr>'12. Разходи'!Печат_заглавия</vt:lpstr>
      <vt:lpstr>'12.1.Разходи-увелич.и нам.'!Печат_заглавия</vt:lpstr>
      <vt:lpstr>'2. Променливи'!Печат_заглавия</vt:lpstr>
      <vt:lpstr>'5. Персонал'!Печат_заглавия</vt:lpstr>
      <vt:lpstr>'8. Ремонтна програма'!Печат_заглавия</vt:lpstr>
      <vt:lpstr>'9.Инвестиционна програма'!Печат_заглавия</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bogi</cp:lastModifiedBy>
  <cp:lastPrinted>2018-08-28T12:09:56Z</cp:lastPrinted>
  <dcterms:created xsi:type="dcterms:W3CDTF">2015-02-06T07:26:45Z</dcterms:created>
  <dcterms:modified xsi:type="dcterms:W3CDTF">2018-08-28T12:10:02Z</dcterms:modified>
</cp:coreProperties>
</file>